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drawings/drawing16.xml" ContentType="application/vnd.openxmlformats-officedocument.drawing+xml"/>
  <Override PartName="/xl/comments15.xml" ContentType="application/vnd.openxmlformats-officedocument.spreadsheetml.comments+xml"/>
  <Override PartName="/xl/drawings/drawing17.xml" ContentType="application/vnd.openxmlformats-officedocument.drawing+xml"/>
  <Override PartName="/xl/comments16.xml" ContentType="application/vnd.openxmlformats-officedocument.spreadsheetml.comments+xml"/>
  <Override PartName="/xl/drawings/drawing18.xml" ContentType="application/vnd.openxmlformats-officedocument.drawing+xml"/>
  <Override PartName="/xl/comments17.xml" ContentType="application/vnd.openxmlformats-officedocument.spreadsheetml.comments+xml"/>
  <Override PartName="/xl/drawings/drawing19.xml" ContentType="application/vnd.openxmlformats-officedocument.drawing+xml"/>
  <Override PartName="/xl/comments18.xml" ContentType="application/vnd.openxmlformats-officedocument.spreadsheetml.comments+xml"/>
  <Override PartName="/xl/drawings/drawing20.xml" ContentType="application/vnd.openxmlformats-officedocument.drawing+xml"/>
  <Override PartName="/xl/comments19.xml" ContentType="application/vnd.openxmlformats-officedocument.spreadsheetml.comments+xml"/>
  <Override PartName="/xl/drawings/drawing21.xml" ContentType="application/vnd.openxmlformats-officedocument.drawing+xml"/>
  <Override PartName="/xl/comments20.xml" ContentType="application/vnd.openxmlformats-officedocument.spreadsheetml.comments+xml"/>
  <Override PartName="/xl/drawings/drawing22.xml" ContentType="application/vnd.openxmlformats-officedocument.drawing+xml"/>
  <Override PartName="/xl/comments21.xml" ContentType="application/vnd.openxmlformats-officedocument.spreadsheetml.comments+xml"/>
  <Override PartName="/xl/drawings/drawing23.xml" ContentType="application/vnd.openxmlformats-officedocument.drawing+xml"/>
  <Override PartName="/xl/comments22.xml" ContentType="application/vnd.openxmlformats-officedocument.spreadsheetml.comments+xml"/>
  <Override PartName="/xl/drawings/drawing24.xml" ContentType="application/vnd.openxmlformats-officedocument.drawing+xml"/>
  <Override PartName="/xl/comments23.xml" ContentType="application/vnd.openxmlformats-officedocument.spreadsheetml.comments+xml"/>
  <Override PartName="/xl/tables/table1.xml" ContentType="application/vnd.openxmlformats-officedocument.spreadsheetml.table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RUCO0307\Downloads\"/>
    </mc:Choice>
  </mc:AlternateContent>
  <xr:revisionPtr revIDLastSave="0" documentId="13_ncr:1_{3F273E38-5807-4317-9448-DB29DE9FEB58}" xr6:coauthVersionLast="47" xr6:coauthVersionMax="47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Содержание " sheetId="1" r:id="rId1"/>
    <sheet name="Быстрый поиск по коду" sheetId="2" r:id="rId2"/>
    <sheet name="ICF-R" sheetId="3" r:id="rId3"/>
    <sheet name="SVA" sheetId="4" r:id="rId4"/>
    <sheet name="SVA-Q" sheetId="5" r:id="rId5"/>
    <sheet name="REG" sheetId="6" r:id="rId6"/>
    <sheet name="CHV" sheetId="7" r:id="rId7"/>
    <sheet name="SCA" sheetId="8" r:id="rId8"/>
    <sheet name="FIA" sheetId="9" r:id="rId9"/>
    <sheet name="SNV" sheetId="10" r:id="rId10"/>
    <sheet name="EVRA(T) " sheetId="11" r:id="rId11"/>
    <sheet name="ICS-R" sheetId="12" r:id="rId12"/>
    <sheet name="PM" sheetId="13" r:id="rId13"/>
    <sheet name="ICLX-R" sheetId="14" r:id="rId14"/>
    <sheet name="PMLX" sheetId="15" r:id="rId15"/>
    <sheet name="Пилоты" sheetId="16" r:id="rId16"/>
    <sheet name="OFV" sheetId="17" r:id="rId17"/>
    <sheet name="ORV" sheetId="18" r:id="rId18"/>
    <sheet name="ELS" sheetId="19" r:id="rId19"/>
    <sheet name="SFV-R" sheetId="20" r:id="rId20"/>
    <sheet name="DSV" sheetId="21" r:id="rId21"/>
    <sheet name="Смотроые стекла" sheetId="22" r:id="rId22"/>
    <sheet name="ICAD-R" sheetId="23" r:id="rId23"/>
    <sheet name="ЗИП" sheetId="24" r:id="rId24"/>
    <sheet name="ИСХОДНИК" sheetId="25" r:id="rId25"/>
    <sheet name="НДС" sheetId="26" state="hidden" r:id="rId26"/>
  </sheets>
  <definedNames>
    <definedName name="_xlnm._FilterDatabase" localSheetId="6" hidden="1">CHV!$B$11:$M$52</definedName>
    <definedName name="_xlnm._FilterDatabase" localSheetId="20" hidden="1">DSV!$B$11:$K$11</definedName>
    <definedName name="_xlnm._FilterDatabase" localSheetId="18" hidden="1">ELS!$B$11:$K$11</definedName>
    <definedName name="_xlnm._FilterDatabase" localSheetId="10" hidden="1">'EVRA(T) '!$B$11:$O$11</definedName>
    <definedName name="_xlnm._FilterDatabase" localSheetId="8" hidden="1">FIA!$B$11:$R$11</definedName>
    <definedName name="_xlnm._FilterDatabase" localSheetId="22" hidden="1">'ICAD-R'!$B$11:$M$11</definedName>
    <definedName name="_xlnm._FilterDatabase" localSheetId="2" hidden="1">'ICF-R'!$B$12:$U$12</definedName>
    <definedName name="_xlnm._FilterDatabase" localSheetId="13" hidden="1">'ICLX-R'!$B$11:$L$11</definedName>
    <definedName name="_xlnm._FilterDatabase" localSheetId="11" hidden="1">'ICS-R'!$B$11:$M$11</definedName>
    <definedName name="_xlnm._FilterDatabase" localSheetId="16" hidden="1">OFV!$B$11:$M$11</definedName>
    <definedName name="_xlnm._FilterDatabase" localSheetId="17" hidden="1">ORV!$B$11:$L$11</definedName>
    <definedName name="_xlnm._FilterDatabase" localSheetId="12" hidden="1">PM!$B$11:$M$11</definedName>
    <definedName name="_xlnm._FilterDatabase" localSheetId="14" hidden="1">PMLX!$B$11:$L$11</definedName>
    <definedName name="_xlnm._FilterDatabase" localSheetId="5" hidden="1">REG!$B$11:$M$11</definedName>
    <definedName name="_xlnm._FilterDatabase" localSheetId="7" hidden="1">SCA!$B$11:$L$11</definedName>
    <definedName name="_xlnm._FilterDatabase" localSheetId="19" hidden="1">'SFV-R'!$B$11:$L$11</definedName>
    <definedName name="_xlnm._FilterDatabase" localSheetId="3" hidden="1">SVA!$B$11:$M$57</definedName>
    <definedName name="_xlnm._FilterDatabase" localSheetId="4" hidden="1">'SVA-Q'!$B$11:$M$11</definedName>
    <definedName name="_xlnm._FilterDatabase" localSheetId="15" hidden="1">Пилоты!$B$11:$L$11</definedName>
    <definedName name="_xlnm._FilterDatabase" localSheetId="21" hidden="1">'Смотроые стекла'!$B$11:$K$11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514" i="25" l="1"/>
  <c r="N514" i="25"/>
  <c r="R513" i="25"/>
  <c r="N513" i="25"/>
  <c r="R512" i="25"/>
  <c r="N512" i="25"/>
  <c r="R511" i="25"/>
  <c r="N511" i="25"/>
  <c r="R510" i="25"/>
  <c r="N510" i="25"/>
  <c r="R509" i="25"/>
  <c r="N509" i="25"/>
  <c r="R508" i="25"/>
  <c r="N508" i="25"/>
  <c r="R507" i="25"/>
  <c r="N507" i="25"/>
  <c r="R506" i="25"/>
  <c r="N506" i="25"/>
  <c r="R505" i="25"/>
  <c r="N505" i="25"/>
  <c r="R504" i="25"/>
  <c r="N504" i="25"/>
  <c r="R503" i="25"/>
  <c r="N503" i="25"/>
  <c r="R502" i="25"/>
  <c r="N502" i="25"/>
  <c r="R501" i="25"/>
  <c r="N501" i="25"/>
  <c r="R500" i="25"/>
  <c r="N500" i="25"/>
  <c r="R499" i="25"/>
  <c r="N499" i="25"/>
  <c r="R498" i="25"/>
  <c r="N498" i="25"/>
  <c r="R497" i="25"/>
  <c r="N497" i="25"/>
  <c r="R496" i="25"/>
  <c r="N496" i="25"/>
  <c r="R495" i="25"/>
  <c r="N495" i="25"/>
  <c r="R494" i="25"/>
  <c r="N494" i="25"/>
  <c r="R493" i="25"/>
  <c r="N493" i="25"/>
  <c r="R492" i="25"/>
  <c r="N492" i="25"/>
  <c r="R491" i="25"/>
  <c r="N491" i="25"/>
  <c r="R490" i="25"/>
  <c r="N490" i="25"/>
  <c r="R489" i="25"/>
  <c r="N489" i="25"/>
  <c r="R488" i="25"/>
  <c r="N488" i="25"/>
  <c r="R487" i="25"/>
  <c r="N487" i="25"/>
  <c r="R486" i="25"/>
  <c r="N486" i="25"/>
  <c r="R485" i="25"/>
  <c r="N485" i="25"/>
  <c r="R484" i="25"/>
  <c r="N484" i="25"/>
  <c r="R483" i="25"/>
  <c r="N483" i="25"/>
  <c r="R482" i="25"/>
  <c r="N482" i="25"/>
  <c r="R481" i="25"/>
  <c r="N481" i="25"/>
  <c r="R480" i="25"/>
  <c r="N480" i="25"/>
  <c r="R479" i="25"/>
  <c r="N479" i="25"/>
  <c r="R478" i="25"/>
  <c r="N478" i="25"/>
  <c r="R477" i="25"/>
  <c r="N477" i="25"/>
  <c r="R476" i="25"/>
  <c r="N476" i="25"/>
  <c r="R475" i="25"/>
  <c r="N475" i="25"/>
  <c r="R474" i="25"/>
  <c r="N474" i="25"/>
  <c r="R473" i="25"/>
  <c r="N473" i="25"/>
  <c r="R472" i="25"/>
  <c r="N472" i="25"/>
  <c r="R471" i="25"/>
  <c r="N471" i="25"/>
  <c r="R470" i="25"/>
  <c r="N470" i="25"/>
  <c r="R469" i="25"/>
  <c r="N469" i="25"/>
  <c r="R468" i="25"/>
  <c r="N468" i="25"/>
  <c r="R467" i="25"/>
  <c r="N467" i="25"/>
  <c r="R466" i="25"/>
  <c r="N466" i="25"/>
  <c r="R465" i="25"/>
  <c r="N465" i="25"/>
  <c r="R464" i="25"/>
  <c r="N464" i="25"/>
  <c r="R463" i="25"/>
  <c r="N463" i="25"/>
  <c r="R462" i="25"/>
  <c r="N462" i="25"/>
  <c r="R461" i="25"/>
  <c r="N461" i="25"/>
  <c r="R460" i="25"/>
  <c r="N460" i="25"/>
  <c r="R459" i="25"/>
  <c r="N459" i="25"/>
  <c r="R458" i="25"/>
  <c r="N458" i="25"/>
  <c r="R457" i="25"/>
  <c r="N457" i="25"/>
  <c r="R456" i="25"/>
  <c r="N456" i="25"/>
  <c r="R455" i="25"/>
  <c r="N455" i="25"/>
  <c r="R454" i="25"/>
  <c r="N454" i="25"/>
  <c r="R453" i="25"/>
  <c r="N453" i="25"/>
  <c r="R452" i="25"/>
  <c r="N452" i="25"/>
  <c r="R451" i="25"/>
  <c r="N451" i="25"/>
  <c r="R450" i="25"/>
  <c r="N450" i="25"/>
  <c r="R449" i="25"/>
  <c r="N449" i="25"/>
  <c r="R448" i="25"/>
  <c r="N448" i="25"/>
  <c r="R447" i="25"/>
  <c r="N447" i="25"/>
  <c r="R446" i="25"/>
  <c r="N446" i="25"/>
  <c r="S445" i="25"/>
  <c r="R445" i="25" s="1"/>
  <c r="S14" i="20" s="1"/>
  <c r="N445" i="25"/>
  <c r="S444" i="25"/>
  <c r="R444" i="25" s="1"/>
  <c r="S13" i="20" s="1"/>
  <c r="N444" i="25"/>
  <c r="S443" i="25"/>
  <c r="R443" i="25" s="1"/>
  <c r="S12" i="20" s="1"/>
  <c r="N443" i="25"/>
  <c r="R442" i="25"/>
  <c r="N442" i="25"/>
  <c r="R441" i="25"/>
  <c r="N441" i="25"/>
  <c r="R440" i="25"/>
  <c r="N440" i="25"/>
  <c r="R439" i="25"/>
  <c r="N439" i="25"/>
  <c r="R438" i="25"/>
  <c r="N438" i="25"/>
  <c r="R437" i="25"/>
  <c r="N437" i="25"/>
  <c r="R436" i="25"/>
  <c r="N436" i="25"/>
  <c r="R435" i="25"/>
  <c r="N435" i="25"/>
  <c r="R434" i="25"/>
  <c r="N434" i="25"/>
  <c r="R433" i="25"/>
  <c r="N433" i="25"/>
  <c r="R432" i="25"/>
  <c r="N432" i="25"/>
  <c r="R431" i="25"/>
  <c r="N431" i="25"/>
  <c r="R430" i="25"/>
  <c r="N430" i="25"/>
  <c r="R429" i="25"/>
  <c r="N429" i="25"/>
  <c r="R428" i="25"/>
  <c r="N428" i="25"/>
  <c r="R427" i="25"/>
  <c r="N427" i="25"/>
  <c r="R426" i="25"/>
  <c r="N426" i="25"/>
  <c r="E426" i="25"/>
  <c r="R425" i="25"/>
  <c r="N425" i="25"/>
  <c r="E425" i="25"/>
  <c r="R424" i="25"/>
  <c r="N424" i="25"/>
  <c r="E424" i="25"/>
  <c r="R423" i="25"/>
  <c r="N423" i="25"/>
  <c r="E423" i="25"/>
  <c r="R422" i="25"/>
  <c r="N422" i="25"/>
  <c r="E422" i="25"/>
  <c r="R421" i="25"/>
  <c r="N421" i="25"/>
  <c r="E421" i="25"/>
  <c r="R420" i="25"/>
  <c r="N420" i="25"/>
  <c r="E420" i="25"/>
  <c r="R419" i="25"/>
  <c r="N419" i="25"/>
  <c r="E419" i="25"/>
  <c r="R418" i="25"/>
  <c r="N418" i="25"/>
  <c r="E418" i="25"/>
  <c r="R417" i="25"/>
  <c r="N417" i="25"/>
  <c r="E417" i="25"/>
  <c r="R416" i="25"/>
  <c r="N416" i="25"/>
  <c r="E416" i="25"/>
  <c r="R415" i="25"/>
  <c r="N415" i="25"/>
  <c r="E415" i="25"/>
  <c r="R414" i="25"/>
  <c r="N414" i="25"/>
  <c r="E414" i="25"/>
  <c r="R413" i="25"/>
  <c r="N413" i="25"/>
  <c r="E413" i="25"/>
  <c r="R412" i="25"/>
  <c r="N412" i="25"/>
  <c r="E412" i="25"/>
  <c r="R411" i="25"/>
  <c r="N411" i="25"/>
  <c r="E411" i="25"/>
  <c r="R410" i="25"/>
  <c r="N410" i="25"/>
  <c r="E410" i="25"/>
  <c r="R409" i="25"/>
  <c r="N409" i="25"/>
  <c r="E409" i="25"/>
  <c r="R408" i="25"/>
  <c r="N408" i="25"/>
  <c r="E408" i="25"/>
  <c r="R407" i="25"/>
  <c r="N407" i="25"/>
  <c r="E407" i="25"/>
  <c r="R406" i="25"/>
  <c r="N406" i="25"/>
  <c r="E406" i="25"/>
  <c r="R405" i="25"/>
  <c r="N405" i="25"/>
  <c r="E405" i="25"/>
  <c r="R404" i="25"/>
  <c r="N404" i="25"/>
  <c r="E404" i="25"/>
  <c r="R403" i="25"/>
  <c r="N403" i="25"/>
  <c r="E403" i="25"/>
  <c r="R402" i="25"/>
  <c r="N402" i="25"/>
  <c r="E402" i="25"/>
  <c r="R401" i="25"/>
  <c r="N401" i="25"/>
  <c r="E401" i="25"/>
  <c r="R400" i="25"/>
  <c r="N400" i="25"/>
  <c r="E400" i="25"/>
  <c r="R399" i="25"/>
  <c r="N399" i="25"/>
  <c r="E399" i="25"/>
  <c r="R398" i="25"/>
  <c r="N398" i="25"/>
  <c r="E398" i="25"/>
  <c r="R397" i="25"/>
  <c r="N397" i="25"/>
  <c r="E397" i="25"/>
  <c r="R396" i="25"/>
  <c r="N396" i="25"/>
  <c r="E396" i="25"/>
  <c r="R395" i="25"/>
  <c r="N395" i="25"/>
  <c r="E395" i="25"/>
  <c r="R394" i="25"/>
  <c r="N394" i="25"/>
  <c r="E394" i="25"/>
  <c r="R393" i="25"/>
  <c r="N393" i="25"/>
  <c r="E393" i="25"/>
  <c r="R392" i="25"/>
  <c r="N392" i="25"/>
  <c r="E392" i="25"/>
  <c r="R391" i="25"/>
  <c r="N391" i="25"/>
  <c r="E391" i="25"/>
  <c r="R390" i="25"/>
  <c r="N390" i="25"/>
  <c r="E390" i="25"/>
  <c r="R389" i="25"/>
  <c r="N389" i="25"/>
  <c r="E389" i="25"/>
  <c r="R388" i="25"/>
  <c r="N388" i="25"/>
  <c r="E388" i="25"/>
  <c r="R387" i="25"/>
  <c r="N387" i="25"/>
  <c r="E387" i="25"/>
  <c r="R386" i="25"/>
  <c r="N386" i="25"/>
  <c r="E386" i="25"/>
  <c r="R385" i="25"/>
  <c r="N385" i="25"/>
  <c r="E385" i="25"/>
  <c r="R384" i="25"/>
  <c r="N384" i="25"/>
  <c r="E384" i="25"/>
  <c r="R383" i="25"/>
  <c r="N383" i="25"/>
  <c r="E383" i="25"/>
  <c r="R382" i="25"/>
  <c r="N382" i="25"/>
  <c r="E382" i="25"/>
  <c r="R381" i="25"/>
  <c r="N381" i="25"/>
  <c r="E381" i="25"/>
  <c r="R380" i="25"/>
  <c r="N380" i="25"/>
  <c r="E380" i="25"/>
  <c r="R379" i="25"/>
  <c r="N379" i="25"/>
  <c r="E379" i="25"/>
  <c r="R378" i="25"/>
  <c r="N378" i="25"/>
  <c r="E378" i="25"/>
  <c r="R377" i="25"/>
  <c r="N377" i="25"/>
  <c r="E377" i="25"/>
  <c r="R376" i="25"/>
  <c r="N376" i="25"/>
  <c r="E376" i="25"/>
  <c r="R375" i="25"/>
  <c r="N375" i="25"/>
  <c r="E375" i="25"/>
  <c r="R374" i="25"/>
  <c r="N374" i="25"/>
  <c r="E374" i="25"/>
  <c r="R373" i="25"/>
  <c r="N373" i="25"/>
  <c r="E373" i="25"/>
  <c r="R372" i="25"/>
  <c r="N372" i="25"/>
  <c r="R371" i="25"/>
  <c r="N371" i="25"/>
  <c r="R370" i="25"/>
  <c r="N370" i="25"/>
  <c r="R369" i="25"/>
  <c r="N369" i="25"/>
  <c r="R368" i="25"/>
  <c r="N368" i="25"/>
  <c r="R367" i="25"/>
  <c r="N367" i="25"/>
  <c r="R366" i="25"/>
  <c r="N366" i="25"/>
  <c r="R365" i="25"/>
  <c r="N365" i="25"/>
  <c r="R364" i="25"/>
  <c r="N364" i="25"/>
  <c r="R363" i="25"/>
  <c r="N363" i="25"/>
  <c r="R362" i="25"/>
  <c r="N362" i="25"/>
  <c r="R361" i="25"/>
  <c r="N361" i="25"/>
  <c r="R360" i="25"/>
  <c r="N360" i="25"/>
  <c r="R359" i="25"/>
  <c r="N359" i="25"/>
  <c r="R358" i="25"/>
  <c r="N358" i="25"/>
  <c r="R357" i="25"/>
  <c r="N357" i="25"/>
  <c r="R356" i="25"/>
  <c r="N356" i="25"/>
  <c r="R355" i="25"/>
  <c r="N355" i="25"/>
  <c r="R354" i="25"/>
  <c r="N354" i="25"/>
  <c r="R353" i="25"/>
  <c r="N353" i="25"/>
  <c r="R352" i="25"/>
  <c r="N352" i="25"/>
  <c r="R351" i="25"/>
  <c r="N351" i="25"/>
  <c r="R350" i="25"/>
  <c r="N350" i="25"/>
  <c r="R349" i="25"/>
  <c r="N349" i="25"/>
  <c r="R348" i="25"/>
  <c r="N348" i="25"/>
  <c r="R347" i="25"/>
  <c r="N347" i="25"/>
  <c r="R346" i="25"/>
  <c r="N346" i="25"/>
  <c r="R345" i="25"/>
  <c r="N345" i="25"/>
  <c r="R344" i="25"/>
  <c r="N344" i="25"/>
  <c r="R343" i="25"/>
  <c r="N343" i="25"/>
  <c r="R342" i="25"/>
  <c r="N342" i="25"/>
  <c r="R341" i="25"/>
  <c r="N341" i="25"/>
  <c r="R340" i="25"/>
  <c r="N340" i="25"/>
  <c r="R339" i="25"/>
  <c r="N339" i="25"/>
  <c r="R338" i="25"/>
  <c r="N338" i="25"/>
  <c r="R337" i="25"/>
  <c r="N337" i="25"/>
  <c r="R336" i="25"/>
  <c r="N336" i="25"/>
  <c r="R335" i="25"/>
  <c r="N335" i="25"/>
  <c r="R334" i="25"/>
  <c r="N334" i="25"/>
  <c r="R333" i="25"/>
  <c r="N333" i="25"/>
  <c r="R332" i="25"/>
  <c r="N332" i="25"/>
  <c r="R331" i="25"/>
  <c r="N331" i="25"/>
  <c r="R330" i="25"/>
  <c r="N330" i="25"/>
  <c r="R329" i="25"/>
  <c r="N329" i="25"/>
  <c r="R328" i="25"/>
  <c r="N328" i="25"/>
  <c r="R327" i="25"/>
  <c r="N327" i="25"/>
  <c r="R326" i="25"/>
  <c r="N326" i="25"/>
  <c r="R325" i="25"/>
  <c r="N325" i="25"/>
  <c r="R324" i="25"/>
  <c r="N324" i="25"/>
  <c r="R323" i="25"/>
  <c r="N323" i="25"/>
  <c r="R322" i="25"/>
  <c r="N322" i="25"/>
  <c r="R321" i="25"/>
  <c r="N321" i="25"/>
  <c r="R320" i="25"/>
  <c r="N320" i="25"/>
  <c r="R319" i="25"/>
  <c r="N319" i="25"/>
  <c r="R318" i="25"/>
  <c r="N318" i="25"/>
  <c r="R317" i="25"/>
  <c r="N317" i="25"/>
  <c r="R316" i="25"/>
  <c r="N316" i="25"/>
  <c r="R315" i="25"/>
  <c r="N315" i="25"/>
  <c r="R314" i="25"/>
  <c r="N314" i="25"/>
  <c r="R313" i="25"/>
  <c r="N313" i="25"/>
  <c r="R312" i="25"/>
  <c r="N312" i="25"/>
  <c r="R311" i="25"/>
  <c r="N311" i="25"/>
  <c r="R310" i="25"/>
  <c r="N310" i="25"/>
  <c r="R309" i="25"/>
  <c r="N309" i="25"/>
  <c r="R308" i="25"/>
  <c r="N308" i="25"/>
  <c r="R307" i="25"/>
  <c r="N307" i="25"/>
  <c r="R306" i="25"/>
  <c r="N306" i="25"/>
  <c r="R305" i="25"/>
  <c r="N305" i="25"/>
  <c r="R304" i="25"/>
  <c r="N304" i="25"/>
  <c r="R303" i="25"/>
  <c r="N303" i="25"/>
  <c r="R302" i="25"/>
  <c r="N302" i="25"/>
  <c r="R301" i="25"/>
  <c r="N301" i="25"/>
  <c r="R300" i="25"/>
  <c r="N300" i="25"/>
  <c r="R299" i="25"/>
  <c r="N299" i="25"/>
  <c r="R298" i="25"/>
  <c r="N298" i="25"/>
  <c r="R297" i="25"/>
  <c r="N297" i="25"/>
  <c r="R296" i="25"/>
  <c r="N296" i="25"/>
  <c r="R295" i="25"/>
  <c r="N295" i="25"/>
  <c r="R294" i="25"/>
  <c r="N294" i="25"/>
  <c r="R293" i="25"/>
  <c r="N293" i="25"/>
  <c r="R292" i="25"/>
  <c r="N292" i="25"/>
  <c r="R291" i="25"/>
  <c r="N291" i="25"/>
  <c r="R290" i="25"/>
  <c r="N290" i="25"/>
  <c r="R289" i="25"/>
  <c r="N289" i="25"/>
  <c r="R288" i="25"/>
  <c r="N288" i="25"/>
  <c r="R287" i="25"/>
  <c r="N287" i="25"/>
  <c r="R286" i="25"/>
  <c r="N286" i="25"/>
  <c r="R285" i="25"/>
  <c r="N285" i="25"/>
  <c r="R284" i="25"/>
  <c r="N284" i="25"/>
  <c r="R283" i="25"/>
  <c r="N283" i="25"/>
  <c r="R282" i="25"/>
  <c r="N282" i="25"/>
  <c r="R281" i="25"/>
  <c r="N281" i="25"/>
  <c r="R280" i="25"/>
  <c r="N280" i="25"/>
  <c r="R279" i="25"/>
  <c r="N279" i="25"/>
  <c r="R278" i="25"/>
  <c r="N278" i="25"/>
  <c r="R277" i="25"/>
  <c r="N277" i="25"/>
  <c r="R276" i="25"/>
  <c r="N276" i="25"/>
  <c r="R275" i="25"/>
  <c r="N275" i="25"/>
  <c r="R274" i="25"/>
  <c r="N274" i="25"/>
  <c r="R273" i="25"/>
  <c r="N273" i="25"/>
  <c r="R272" i="25"/>
  <c r="N272" i="25"/>
  <c r="R271" i="25"/>
  <c r="N271" i="25"/>
  <c r="R270" i="25"/>
  <c r="N270" i="25"/>
  <c r="R269" i="25"/>
  <c r="N269" i="25"/>
  <c r="R268" i="25"/>
  <c r="N268" i="25"/>
  <c r="R267" i="25"/>
  <c r="N267" i="25"/>
  <c r="R266" i="25"/>
  <c r="N266" i="25"/>
  <c r="R265" i="25"/>
  <c r="N265" i="25"/>
  <c r="R264" i="25"/>
  <c r="N264" i="25"/>
  <c r="R263" i="25"/>
  <c r="N263" i="25"/>
  <c r="R262" i="25"/>
  <c r="N262" i="25"/>
  <c r="R261" i="25"/>
  <c r="N261" i="25"/>
  <c r="R260" i="25"/>
  <c r="N260" i="25"/>
  <c r="R259" i="25"/>
  <c r="N259" i="25"/>
  <c r="R258" i="25"/>
  <c r="N258" i="25"/>
  <c r="R257" i="25"/>
  <c r="N257" i="25"/>
  <c r="R256" i="25"/>
  <c r="N256" i="25"/>
  <c r="R255" i="25"/>
  <c r="N255" i="25"/>
  <c r="R254" i="25"/>
  <c r="N254" i="25"/>
  <c r="R253" i="25"/>
  <c r="N253" i="25"/>
  <c r="R252" i="25"/>
  <c r="N252" i="25"/>
  <c r="R251" i="25"/>
  <c r="N251" i="25"/>
  <c r="R250" i="25"/>
  <c r="N250" i="25"/>
  <c r="R249" i="25"/>
  <c r="N249" i="25"/>
  <c r="R248" i="25"/>
  <c r="N248" i="25"/>
  <c r="R247" i="25"/>
  <c r="N247" i="25"/>
  <c r="R246" i="25"/>
  <c r="N246" i="25"/>
  <c r="R245" i="25"/>
  <c r="N245" i="25"/>
  <c r="R244" i="25"/>
  <c r="N244" i="25"/>
  <c r="R243" i="25"/>
  <c r="N243" i="25"/>
  <c r="R242" i="25"/>
  <c r="N242" i="25"/>
  <c r="R241" i="25"/>
  <c r="N241" i="25"/>
  <c r="R240" i="25"/>
  <c r="N240" i="25"/>
  <c r="R239" i="25"/>
  <c r="N239" i="25"/>
  <c r="S238" i="25"/>
  <c r="R238" i="25"/>
  <c r="N238" i="25"/>
  <c r="S237" i="25"/>
  <c r="R237" i="25"/>
  <c r="N237" i="25"/>
  <c r="S236" i="25"/>
  <c r="R236" i="25"/>
  <c r="N236" i="25"/>
  <c r="S235" i="25"/>
  <c r="R235" i="25"/>
  <c r="N235" i="25"/>
  <c r="S234" i="25"/>
  <c r="R234" i="25"/>
  <c r="N234" i="25"/>
  <c r="S233" i="25"/>
  <c r="R233" i="25" s="1"/>
  <c r="N233" i="25"/>
  <c r="R232" i="25"/>
  <c r="N232" i="25"/>
  <c r="R231" i="25"/>
  <c r="N231" i="25"/>
  <c r="R230" i="25"/>
  <c r="N230" i="25"/>
  <c r="R229" i="25"/>
  <c r="N229" i="25"/>
  <c r="R228" i="25"/>
  <c r="N228" i="25"/>
  <c r="R227" i="25"/>
  <c r="N227" i="25"/>
  <c r="R226" i="25"/>
  <c r="N226" i="25"/>
  <c r="R225" i="25"/>
  <c r="N225" i="25"/>
  <c r="R224" i="25"/>
  <c r="N224" i="25"/>
  <c r="R223" i="25"/>
  <c r="N223" i="25"/>
  <c r="R222" i="25"/>
  <c r="N222" i="25"/>
  <c r="R221" i="25"/>
  <c r="N221" i="25"/>
  <c r="R220" i="25"/>
  <c r="N220" i="25"/>
  <c r="R219" i="25"/>
  <c r="N219" i="25"/>
  <c r="R218" i="25"/>
  <c r="N218" i="25"/>
  <c r="R217" i="25"/>
  <c r="N217" i="25"/>
  <c r="R216" i="25"/>
  <c r="N216" i="25"/>
  <c r="R215" i="25"/>
  <c r="N215" i="25"/>
  <c r="R214" i="25"/>
  <c r="N214" i="25"/>
  <c r="R213" i="25"/>
  <c r="N213" i="25"/>
  <c r="R212" i="25"/>
  <c r="N212" i="25"/>
  <c r="R211" i="25"/>
  <c r="N211" i="25"/>
  <c r="R210" i="25"/>
  <c r="N210" i="25"/>
  <c r="R209" i="25"/>
  <c r="N209" i="25"/>
  <c r="R208" i="25"/>
  <c r="N208" i="25"/>
  <c r="R207" i="25"/>
  <c r="N207" i="25"/>
  <c r="R206" i="25"/>
  <c r="N206" i="25"/>
  <c r="R205" i="25"/>
  <c r="N205" i="25"/>
  <c r="R204" i="25"/>
  <c r="N204" i="25"/>
  <c r="R203" i="25"/>
  <c r="N203" i="25"/>
  <c r="R202" i="25"/>
  <c r="N202" i="25"/>
  <c r="R201" i="25"/>
  <c r="N201" i="25"/>
  <c r="R200" i="25"/>
  <c r="N200" i="25"/>
  <c r="R199" i="25"/>
  <c r="N199" i="25"/>
  <c r="E199" i="25"/>
  <c r="R198" i="25"/>
  <c r="N198" i="25"/>
  <c r="E198" i="25"/>
  <c r="R197" i="25"/>
  <c r="N197" i="25"/>
  <c r="E197" i="25"/>
  <c r="R196" i="25"/>
  <c r="N196" i="25"/>
  <c r="E196" i="25"/>
  <c r="R195" i="25"/>
  <c r="N195" i="25"/>
  <c r="E195" i="25"/>
  <c r="R194" i="25"/>
  <c r="N194" i="25"/>
  <c r="E194" i="25"/>
  <c r="R193" i="25"/>
  <c r="N193" i="25"/>
  <c r="E193" i="25"/>
  <c r="R192" i="25"/>
  <c r="N192" i="25"/>
  <c r="E192" i="25"/>
  <c r="R191" i="25"/>
  <c r="N191" i="25"/>
  <c r="E191" i="25"/>
  <c r="R190" i="25"/>
  <c r="N190" i="25"/>
  <c r="E190" i="25"/>
  <c r="R189" i="25"/>
  <c r="N189" i="25"/>
  <c r="E189" i="25"/>
  <c r="R188" i="25"/>
  <c r="N188" i="25"/>
  <c r="E188" i="25"/>
  <c r="R187" i="25"/>
  <c r="N187" i="25"/>
  <c r="E187" i="25"/>
  <c r="R186" i="25"/>
  <c r="N186" i="25"/>
  <c r="E186" i="25"/>
  <c r="R185" i="25"/>
  <c r="N185" i="25"/>
  <c r="E185" i="25"/>
  <c r="R184" i="25"/>
  <c r="N184" i="25"/>
  <c r="E184" i="25"/>
  <c r="R183" i="25"/>
  <c r="N183" i="25"/>
  <c r="E183" i="25"/>
  <c r="R182" i="25"/>
  <c r="N182" i="25"/>
  <c r="E182" i="25"/>
  <c r="R181" i="25"/>
  <c r="N181" i="25"/>
  <c r="E181" i="25"/>
  <c r="R180" i="25"/>
  <c r="N180" i="25"/>
  <c r="E180" i="25"/>
  <c r="R179" i="25"/>
  <c r="N179" i="25"/>
  <c r="E179" i="25"/>
  <c r="R178" i="25"/>
  <c r="N178" i="25"/>
  <c r="E178" i="25"/>
  <c r="R177" i="25"/>
  <c r="N177" i="25"/>
  <c r="E177" i="25"/>
  <c r="R176" i="25"/>
  <c r="N176" i="25"/>
  <c r="E176" i="25"/>
  <c r="R175" i="25"/>
  <c r="N175" i="25"/>
  <c r="E175" i="25"/>
  <c r="R174" i="25"/>
  <c r="N174" i="25"/>
  <c r="E174" i="25"/>
  <c r="R173" i="25"/>
  <c r="N173" i="25"/>
  <c r="E173" i="25"/>
  <c r="R172" i="25"/>
  <c r="N172" i="25"/>
  <c r="E172" i="25"/>
  <c r="R171" i="25"/>
  <c r="N171" i="25"/>
  <c r="E171" i="25"/>
  <c r="R170" i="25"/>
  <c r="N170" i="25"/>
  <c r="E170" i="25"/>
  <c r="R169" i="25"/>
  <c r="N169" i="25"/>
  <c r="E169" i="25"/>
  <c r="R168" i="25"/>
  <c r="N168" i="25"/>
  <c r="E168" i="25"/>
  <c r="R167" i="25"/>
  <c r="N167" i="25"/>
  <c r="E167" i="25"/>
  <c r="R166" i="25"/>
  <c r="N166" i="25"/>
  <c r="E166" i="25"/>
  <c r="R165" i="25"/>
  <c r="N165" i="25"/>
  <c r="E165" i="25"/>
  <c r="R164" i="25"/>
  <c r="N164" i="25"/>
  <c r="E164" i="25"/>
  <c r="R163" i="25"/>
  <c r="N163" i="25"/>
  <c r="E163" i="25"/>
  <c r="R162" i="25"/>
  <c r="N162" i="25"/>
  <c r="E162" i="25"/>
  <c r="R161" i="25"/>
  <c r="N161" i="25"/>
  <c r="E161" i="25"/>
  <c r="R160" i="25"/>
  <c r="N160" i="25"/>
  <c r="E160" i="25"/>
  <c r="R159" i="25"/>
  <c r="N159" i="25"/>
  <c r="E159" i="25"/>
  <c r="R158" i="25"/>
  <c r="N158" i="25"/>
  <c r="E158" i="25"/>
  <c r="R157" i="25"/>
  <c r="N157" i="25"/>
  <c r="E157" i="25"/>
  <c r="R156" i="25"/>
  <c r="N156" i="25"/>
  <c r="E156" i="25"/>
  <c r="R155" i="25"/>
  <c r="N155" i="25"/>
  <c r="E155" i="25"/>
  <c r="R154" i="25"/>
  <c r="N154" i="25"/>
  <c r="E154" i="25"/>
  <c r="R153" i="25"/>
  <c r="N153" i="25"/>
  <c r="E153" i="25"/>
  <c r="R152" i="25"/>
  <c r="N152" i="25"/>
  <c r="E152" i="25"/>
  <c r="R151" i="25"/>
  <c r="N151" i="25"/>
  <c r="E151" i="25"/>
  <c r="R150" i="25"/>
  <c r="N150" i="25"/>
  <c r="E150" i="25"/>
  <c r="R149" i="25"/>
  <c r="N149" i="25"/>
  <c r="E149" i="25"/>
  <c r="R148" i="25"/>
  <c r="N148" i="25"/>
  <c r="E148" i="25"/>
  <c r="R147" i="25"/>
  <c r="N147" i="25"/>
  <c r="E147" i="25"/>
  <c r="R146" i="25"/>
  <c r="N146" i="25"/>
  <c r="E146" i="25"/>
  <c r="R145" i="25"/>
  <c r="N145" i="25"/>
  <c r="E145" i="25"/>
  <c r="R144" i="25"/>
  <c r="N144" i="25"/>
  <c r="E144" i="25"/>
  <c r="R143" i="25"/>
  <c r="N143" i="25"/>
  <c r="E143" i="25"/>
  <c r="R142" i="25"/>
  <c r="N142" i="25"/>
  <c r="E142" i="25"/>
  <c r="R141" i="25"/>
  <c r="N141" i="25"/>
  <c r="E141" i="25"/>
  <c r="R140" i="25"/>
  <c r="N140" i="25"/>
  <c r="E140" i="25"/>
  <c r="R139" i="25"/>
  <c r="N139" i="25"/>
  <c r="E139" i="25"/>
  <c r="R138" i="25"/>
  <c r="N138" i="25"/>
  <c r="E138" i="25"/>
  <c r="R137" i="25"/>
  <c r="N137" i="25"/>
  <c r="E137" i="25"/>
  <c r="R136" i="25"/>
  <c r="N136" i="25"/>
  <c r="E136" i="25"/>
  <c r="R135" i="25"/>
  <c r="N135" i="25"/>
  <c r="E135" i="25"/>
  <c r="R134" i="25"/>
  <c r="N134" i="25"/>
  <c r="E134" i="25"/>
  <c r="R133" i="25"/>
  <c r="N133" i="25"/>
  <c r="E133" i="25"/>
  <c r="R132" i="25"/>
  <c r="N132" i="25"/>
  <c r="E132" i="25"/>
  <c r="R131" i="25"/>
  <c r="N131" i="25"/>
  <c r="E131" i="25"/>
  <c r="R130" i="25"/>
  <c r="N130" i="25"/>
  <c r="E130" i="25"/>
  <c r="R129" i="25"/>
  <c r="N129" i="25"/>
  <c r="E129" i="25"/>
  <c r="R128" i="25"/>
  <c r="N128" i="25"/>
  <c r="E128" i="25"/>
  <c r="R127" i="25"/>
  <c r="N127" i="25"/>
  <c r="E127" i="25"/>
  <c r="R126" i="25"/>
  <c r="N126" i="25"/>
  <c r="E126" i="25"/>
  <c r="R125" i="25"/>
  <c r="N125" i="25"/>
  <c r="E125" i="25"/>
  <c r="R124" i="25"/>
  <c r="N124" i="25"/>
  <c r="E124" i="25"/>
  <c r="R123" i="25"/>
  <c r="N123" i="25"/>
  <c r="E123" i="25"/>
  <c r="R122" i="25"/>
  <c r="N122" i="25"/>
  <c r="E122" i="25"/>
  <c r="R121" i="25"/>
  <c r="N121" i="25"/>
  <c r="E121" i="25"/>
  <c r="R120" i="25"/>
  <c r="N120" i="25"/>
  <c r="E120" i="25"/>
  <c r="R119" i="25"/>
  <c r="N119" i="25"/>
  <c r="E119" i="25"/>
  <c r="R118" i="25"/>
  <c r="N118" i="25"/>
  <c r="E118" i="25"/>
  <c r="R117" i="25"/>
  <c r="N117" i="25"/>
  <c r="E117" i="25"/>
  <c r="R116" i="25"/>
  <c r="N116" i="25"/>
  <c r="E116" i="25"/>
  <c r="R115" i="25"/>
  <c r="N115" i="25"/>
  <c r="E115" i="25"/>
  <c r="R114" i="25"/>
  <c r="N114" i="25"/>
  <c r="E114" i="25"/>
  <c r="R113" i="25"/>
  <c r="N113" i="25"/>
  <c r="E113" i="25"/>
  <c r="R112" i="25"/>
  <c r="N112" i="25"/>
  <c r="E112" i="25"/>
  <c r="R111" i="25"/>
  <c r="N111" i="25"/>
  <c r="E111" i="25"/>
  <c r="R110" i="25"/>
  <c r="N110" i="25"/>
  <c r="E110" i="25"/>
  <c r="R109" i="25"/>
  <c r="N109" i="25"/>
  <c r="E109" i="25"/>
  <c r="R108" i="25"/>
  <c r="N108" i="25"/>
  <c r="E108" i="25"/>
  <c r="R107" i="25"/>
  <c r="N107" i="25"/>
  <c r="E107" i="25"/>
  <c r="R106" i="25"/>
  <c r="N106" i="25"/>
  <c r="E106" i="25"/>
  <c r="R105" i="25"/>
  <c r="N105" i="25"/>
  <c r="E105" i="25"/>
  <c r="R104" i="25"/>
  <c r="N104" i="25"/>
  <c r="E104" i="25"/>
  <c r="R103" i="25"/>
  <c r="N103" i="25"/>
  <c r="E103" i="25"/>
  <c r="R102" i="25"/>
  <c r="N102" i="25"/>
  <c r="E102" i="25"/>
  <c r="R101" i="25"/>
  <c r="N101" i="25"/>
  <c r="E101" i="25"/>
  <c r="R100" i="25"/>
  <c r="N100" i="25"/>
  <c r="E100" i="25"/>
  <c r="R99" i="25"/>
  <c r="N99" i="25"/>
  <c r="E99" i="25"/>
  <c r="R98" i="25"/>
  <c r="N98" i="25"/>
  <c r="E98" i="25"/>
  <c r="R97" i="25"/>
  <c r="N97" i="25"/>
  <c r="E97" i="25"/>
  <c r="R96" i="25"/>
  <c r="N96" i="25"/>
  <c r="E96" i="25"/>
  <c r="R95" i="25"/>
  <c r="N95" i="25"/>
  <c r="R94" i="25"/>
  <c r="N94" i="25"/>
  <c r="R93" i="25"/>
  <c r="N93" i="25"/>
  <c r="E93" i="25"/>
  <c r="R92" i="25"/>
  <c r="N92" i="25"/>
  <c r="E92" i="25"/>
  <c r="R91" i="25"/>
  <c r="N91" i="25"/>
  <c r="E91" i="25"/>
  <c r="R90" i="25"/>
  <c r="N90" i="25"/>
  <c r="E90" i="25"/>
  <c r="R89" i="25"/>
  <c r="N89" i="25"/>
  <c r="E89" i="25"/>
  <c r="R88" i="25"/>
  <c r="N88" i="25"/>
  <c r="E88" i="25"/>
  <c r="R87" i="25"/>
  <c r="N87" i="25"/>
  <c r="E87" i="25"/>
  <c r="R86" i="25"/>
  <c r="N86" i="25"/>
  <c r="E86" i="25"/>
  <c r="R85" i="25"/>
  <c r="N85" i="25"/>
  <c r="E85" i="25"/>
  <c r="R84" i="25"/>
  <c r="N84" i="25"/>
  <c r="E84" i="25"/>
  <c r="R83" i="25"/>
  <c r="N83" i="25"/>
  <c r="E83" i="25"/>
  <c r="R82" i="25"/>
  <c r="N82" i="25"/>
  <c r="E82" i="25"/>
  <c r="R81" i="25"/>
  <c r="N81" i="25"/>
  <c r="E81" i="25"/>
  <c r="R80" i="25"/>
  <c r="N80" i="25"/>
  <c r="E80" i="25"/>
  <c r="R79" i="25"/>
  <c r="N79" i="25"/>
  <c r="E79" i="25"/>
  <c r="R78" i="25"/>
  <c r="N78" i="25"/>
  <c r="E78" i="25"/>
  <c r="R77" i="25"/>
  <c r="N77" i="25"/>
  <c r="E77" i="25"/>
  <c r="R76" i="25"/>
  <c r="N76" i="25"/>
  <c r="E76" i="25"/>
  <c r="R75" i="25"/>
  <c r="N75" i="25"/>
  <c r="E75" i="25"/>
  <c r="R74" i="25"/>
  <c r="N74" i="25"/>
  <c r="E74" i="25"/>
  <c r="R73" i="25"/>
  <c r="N73" i="25"/>
  <c r="E73" i="25"/>
  <c r="R72" i="25"/>
  <c r="N72" i="25"/>
  <c r="E72" i="25"/>
  <c r="R71" i="25"/>
  <c r="N71" i="25"/>
  <c r="E71" i="25"/>
  <c r="R70" i="25"/>
  <c r="N70" i="25"/>
  <c r="E70" i="25"/>
  <c r="R69" i="25"/>
  <c r="N69" i="25"/>
  <c r="E69" i="25"/>
  <c r="R68" i="25"/>
  <c r="N68" i="25"/>
  <c r="E68" i="25"/>
  <c r="R67" i="25"/>
  <c r="N67" i="25"/>
  <c r="E67" i="25"/>
  <c r="R66" i="25"/>
  <c r="N66" i="25"/>
  <c r="E66" i="25"/>
  <c r="R65" i="25"/>
  <c r="N65" i="25"/>
  <c r="E65" i="25"/>
  <c r="R64" i="25"/>
  <c r="N64" i="25"/>
  <c r="E64" i="25"/>
  <c r="R63" i="25"/>
  <c r="N63" i="25"/>
  <c r="E63" i="25"/>
  <c r="R62" i="25"/>
  <c r="N62" i="25"/>
  <c r="E62" i="25"/>
  <c r="R61" i="25"/>
  <c r="N61" i="25"/>
  <c r="E61" i="25"/>
  <c r="R60" i="25"/>
  <c r="N60" i="25"/>
  <c r="R59" i="25"/>
  <c r="N59" i="25"/>
  <c r="R58" i="25"/>
  <c r="N58" i="25"/>
  <c r="E58" i="25"/>
  <c r="R57" i="25"/>
  <c r="N57" i="25"/>
  <c r="E57" i="25"/>
  <c r="R56" i="25"/>
  <c r="N56" i="25"/>
  <c r="E56" i="25"/>
  <c r="R55" i="25"/>
  <c r="N55" i="25"/>
  <c r="E55" i="25"/>
  <c r="R54" i="25"/>
  <c r="N54" i="25"/>
  <c r="E54" i="25"/>
  <c r="R53" i="25"/>
  <c r="N53" i="25"/>
  <c r="E53" i="25"/>
  <c r="R52" i="25"/>
  <c r="N52" i="25"/>
  <c r="E52" i="25"/>
  <c r="R51" i="25"/>
  <c r="N51" i="25"/>
  <c r="R50" i="25"/>
  <c r="N50" i="25"/>
  <c r="R49" i="25"/>
  <c r="N49" i="25"/>
  <c r="R48" i="25"/>
  <c r="N48" i="25"/>
  <c r="R47" i="25"/>
  <c r="N47" i="25"/>
  <c r="R46" i="25"/>
  <c r="N46" i="25"/>
  <c r="R45" i="25"/>
  <c r="N45" i="25"/>
  <c r="R44" i="25"/>
  <c r="N44" i="25"/>
  <c r="R43" i="25"/>
  <c r="N43" i="25"/>
  <c r="R42" i="25"/>
  <c r="N42" i="25"/>
  <c r="R41" i="25"/>
  <c r="N41" i="25"/>
  <c r="R40" i="25"/>
  <c r="N40" i="25"/>
  <c r="R39" i="25"/>
  <c r="N39" i="25"/>
  <c r="R38" i="25"/>
  <c r="N38" i="25"/>
  <c r="R37" i="25"/>
  <c r="N37" i="25"/>
  <c r="R36" i="25"/>
  <c r="N36" i="25"/>
  <c r="R35" i="25"/>
  <c r="N35" i="25"/>
  <c r="R34" i="25"/>
  <c r="N34" i="25"/>
  <c r="E34" i="25"/>
  <c r="R33" i="25"/>
  <c r="N33" i="25"/>
  <c r="E33" i="25"/>
  <c r="R32" i="25"/>
  <c r="N32" i="25"/>
  <c r="E32" i="25"/>
  <c r="R31" i="25"/>
  <c r="N31" i="25"/>
  <c r="E31" i="25"/>
  <c r="R30" i="25"/>
  <c r="N30" i="25"/>
  <c r="E30" i="25"/>
  <c r="R29" i="25"/>
  <c r="N29" i="25"/>
  <c r="E29" i="25"/>
  <c r="R28" i="25"/>
  <c r="N28" i="25"/>
  <c r="E28" i="25"/>
  <c r="R27" i="25"/>
  <c r="N27" i="25"/>
  <c r="E27" i="25"/>
  <c r="R26" i="25"/>
  <c r="N26" i="25"/>
  <c r="R25" i="25"/>
  <c r="N25" i="25"/>
  <c r="R24" i="25"/>
  <c r="N24" i="25"/>
  <c r="R23" i="25"/>
  <c r="N23" i="25"/>
  <c r="R22" i="25"/>
  <c r="N22" i="25"/>
  <c r="R21" i="25"/>
  <c r="N21" i="25"/>
  <c r="R20" i="25"/>
  <c r="N20" i="25"/>
  <c r="R19" i="25"/>
  <c r="N19" i="25"/>
  <c r="R18" i="25"/>
  <c r="N18" i="25"/>
  <c r="E18" i="25"/>
  <c r="R17" i="25"/>
  <c r="N17" i="25"/>
  <c r="E17" i="25"/>
  <c r="R16" i="25"/>
  <c r="N16" i="25"/>
  <c r="E16" i="25"/>
  <c r="R15" i="25"/>
  <c r="N15" i="25"/>
  <c r="E15" i="25"/>
  <c r="R14" i="25"/>
  <c r="N14" i="25"/>
  <c r="E14" i="25"/>
  <c r="R13" i="25"/>
  <c r="N13" i="25"/>
  <c r="E13" i="25"/>
  <c r="R12" i="25"/>
  <c r="N12" i="25"/>
  <c r="E12" i="25"/>
  <c r="R11" i="25"/>
  <c r="N11" i="25"/>
  <c r="E11" i="25"/>
  <c r="R10" i="25"/>
  <c r="N10" i="25"/>
  <c r="E10" i="25"/>
  <c r="R9" i="25"/>
  <c r="N9" i="25"/>
  <c r="E9" i="25"/>
  <c r="R8" i="25"/>
  <c r="N8" i="25"/>
  <c r="E8" i="25"/>
  <c r="R7" i="25"/>
  <c r="N7" i="25"/>
  <c r="E7" i="25"/>
  <c r="R6" i="25"/>
  <c r="N6" i="25"/>
  <c r="R5" i="25"/>
  <c r="N5" i="25"/>
  <c r="R4" i="25"/>
  <c r="N4" i="25"/>
  <c r="R3" i="25"/>
  <c r="N3" i="25"/>
  <c r="R2" i="25"/>
  <c r="N2" i="25"/>
  <c r="L129" i="24"/>
  <c r="K129" i="24"/>
  <c r="J129" i="24"/>
  <c r="I129" i="24"/>
  <c r="G129" i="24"/>
  <c r="L125" i="24"/>
  <c r="K125" i="24"/>
  <c r="J125" i="24"/>
  <c r="I125" i="24"/>
  <c r="G125" i="24"/>
  <c r="L121" i="24"/>
  <c r="K121" i="24"/>
  <c r="J121" i="24"/>
  <c r="I121" i="24"/>
  <c r="G121" i="24"/>
  <c r="L117" i="24"/>
  <c r="K117" i="24"/>
  <c r="J117" i="24"/>
  <c r="I117" i="24"/>
  <c r="G117" i="24"/>
  <c r="L113" i="24"/>
  <c r="K113" i="24"/>
  <c r="J113" i="24"/>
  <c r="I113" i="24"/>
  <c r="G113" i="24"/>
  <c r="L109" i="24"/>
  <c r="K109" i="24"/>
  <c r="J109" i="24"/>
  <c r="I109" i="24"/>
  <c r="G109" i="24"/>
  <c r="L105" i="24"/>
  <c r="K105" i="24"/>
  <c r="J105" i="24"/>
  <c r="I105" i="24"/>
  <c r="G105" i="24"/>
  <c r="L101" i="24"/>
  <c r="K101" i="24"/>
  <c r="J101" i="24"/>
  <c r="I101" i="24"/>
  <c r="G101" i="24"/>
  <c r="L97" i="24"/>
  <c r="K97" i="24"/>
  <c r="J97" i="24"/>
  <c r="I97" i="24"/>
  <c r="G97" i="24"/>
  <c r="L93" i="24"/>
  <c r="K93" i="24"/>
  <c r="J93" i="24"/>
  <c r="I93" i="24"/>
  <c r="G93" i="24"/>
  <c r="L89" i="24"/>
  <c r="K89" i="24"/>
  <c r="J89" i="24"/>
  <c r="I89" i="24"/>
  <c r="G89" i="24"/>
  <c r="L85" i="24"/>
  <c r="K85" i="24"/>
  <c r="J85" i="24"/>
  <c r="I85" i="24"/>
  <c r="G85" i="24"/>
  <c r="L80" i="24"/>
  <c r="K80" i="24"/>
  <c r="J80" i="24"/>
  <c r="I80" i="24"/>
  <c r="G80" i="24"/>
  <c r="L77" i="24"/>
  <c r="K77" i="24"/>
  <c r="J77" i="24"/>
  <c r="I77" i="24"/>
  <c r="G77" i="24"/>
  <c r="L74" i="24"/>
  <c r="K74" i="24"/>
  <c r="J74" i="24"/>
  <c r="I74" i="24"/>
  <c r="G74" i="24"/>
  <c r="L71" i="24"/>
  <c r="K71" i="24"/>
  <c r="J71" i="24"/>
  <c r="I71" i="24"/>
  <c r="G71" i="24"/>
  <c r="L68" i="24"/>
  <c r="K68" i="24"/>
  <c r="J68" i="24"/>
  <c r="I68" i="24"/>
  <c r="G68" i="24"/>
  <c r="L65" i="24"/>
  <c r="K65" i="24"/>
  <c r="J65" i="24"/>
  <c r="I65" i="24"/>
  <c r="G65" i="24"/>
  <c r="L61" i="24"/>
  <c r="K61" i="24"/>
  <c r="J61" i="24"/>
  <c r="I61" i="24"/>
  <c r="G61" i="24"/>
  <c r="L60" i="24"/>
  <c r="K60" i="24"/>
  <c r="J60" i="24"/>
  <c r="I60" i="24"/>
  <c r="G60" i="24"/>
  <c r="L59" i="24"/>
  <c r="K59" i="24"/>
  <c r="J59" i="24"/>
  <c r="I59" i="24"/>
  <c r="G59" i="24"/>
  <c r="L58" i="24"/>
  <c r="K58" i="24"/>
  <c r="J58" i="24"/>
  <c r="I58" i="24"/>
  <c r="G58" i="24"/>
  <c r="L57" i="24"/>
  <c r="K57" i="24"/>
  <c r="J57" i="24"/>
  <c r="I57" i="24"/>
  <c r="G57" i="24"/>
  <c r="L56" i="24"/>
  <c r="K56" i="24"/>
  <c r="J56" i="24"/>
  <c r="I56" i="24"/>
  <c r="G56" i="24"/>
  <c r="L55" i="24"/>
  <c r="K55" i="24"/>
  <c r="J55" i="24"/>
  <c r="I55" i="24"/>
  <c r="G55" i="24"/>
  <c r="L54" i="24"/>
  <c r="K54" i="24"/>
  <c r="J54" i="24"/>
  <c r="I54" i="24"/>
  <c r="G54" i="24"/>
  <c r="L53" i="24"/>
  <c r="K53" i="24"/>
  <c r="J53" i="24"/>
  <c r="I53" i="24"/>
  <c r="G53" i="24"/>
  <c r="L52" i="24"/>
  <c r="K52" i="24"/>
  <c r="J52" i="24"/>
  <c r="I52" i="24"/>
  <c r="G52" i="24"/>
  <c r="L51" i="24"/>
  <c r="K51" i="24"/>
  <c r="J51" i="24"/>
  <c r="I51" i="24"/>
  <c r="G51" i="24"/>
  <c r="L46" i="24"/>
  <c r="K46" i="24"/>
  <c r="J46" i="24"/>
  <c r="I46" i="24"/>
  <c r="L45" i="24"/>
  <c r="K45" i="24"/>
  <c r="J45" i="24"/>
  <c r="I45" i="24"/>
  <c r="L44" i="24"/>
  <c r="K44" i="24"/>
  <c r="J44" i="24"/>
  <c r="I44" i="24"/>
  <c r="L43" i="24"/>
  <c r="K43" i="24"/>
  <c r="J43" i="24"/>
  <c r="I43" i="24"/>
  <c r="L37" i="24"/>
  <c r="K37" i="24"/>
  <c r="J37" i="24"/>
  <c r="I37" i="24"/>
  <c r="G37" i="24"/>
  <c r="L31" i="24"/>
  <c r="K31" i="24"/>
  <c r="J31" i="24"/>
  <c r="I31" i="24"/>
  <c r="G31" i="24"/>
  <c r="L26" i="24"/>
  <c r="K26" i="24"/>
  <c r="J26" i="24"/>
  <c r="I26" i="24"/>
  <c r="G26" i="24"/>
  <c r="L21" i="24"/>
  <c r="K21" i="24"/>
  <c r="J21" i="24"/>
  <c r="I21" i="24"/>
  <c r="G21" i="24"/>
  <c r="L16" i="24"/>
  <c r="K16" i="24"/>
  <c r="J16" i="24"/>
  <c r="I16" i="24"/>
  <c r="G16" i="24"/>
  <c r="L11" i="24"/>
  <c r="K11" i="24"/>
  <c r="J11" i="24"/>
  <c r="I11" i="24"/>
  <c r="G11" i="24"/>
  <c r="L6" i="24"/>
  <c r="K6" i="24"/>
  <c r="J6" i="24"/>
  <c r="I6" i="24"/>
  <c r="G6" i="24"/>
  <c r="M13" i="23"/>
  <c r="L13" i="23"/>
  <c r="K13" i="23"/>
  <c r="J13" i="23"/>
  <c r="G13" i="23"/>
  <c r="C13" i="23"/>
  <c r="M12" i="23"/>
  <c r="L12" i="23"/>
  <c r="K12" i="23"/>
  <c r="J12" i="23"/>
  <c r="G12" i="23"/>
  <c r="C12" i="23"/>
  <c r="K22" i="22"/>
  <c r="J22" i="22"/>
  <c r="I22" i="22"/>
  <c r="H22" i="22"/>
  <c r="G22" i="22"/>
  <c r="F22" i="22"/>
  <c r="E22" i="22"/>
  <c r="D22" i="22"/>
  <c r="C22" i="22"/>
  <c r="K18" i="22"/>
  <c r="J18" i="22"/>
  <c r="I18" i="22"/>
  <c r="H18" i="22"/>
  <c r="G18" i="22"/>
  <c r="F18" i="22"/>
  <c r="E18" i="22"/>
  <c r="D18" i="22"/>
  <c r="C18" i="22"/>
  <c r="K17" i="22"/>
  <c r="J17" i="22"/>
  <c r="I17" i="22"/>
  <c r="H17" i="22"/>
  <c r="G17" i="22"/>
  <c r="F17" i="22"/>
  <c r="E17" i="22"/>
  <c r="D17" i="22"/>
  <c r="C17" i="22"/>
  <c r="K16" i="22"/>
  <c r="J16" i="22"/>
  <c r="I16" i="22"/>
  <c r="H16" i="22"/>
  <c r="G16" i="22"/>
  <c r="F16" i="22"/>
  <c r="E16" i="22"/>
  <c r="D16" i="22"/>
  <c r="C16" i="22"/>
  <c r="K15" i="22"/>
  <c r="J15" i="22"/>
  <c r="I15" i="22"/>
  <c r="H15" i="22"/>
  <c r="G15" i="22"/>
  <c r="F15" i="22"/>
  <c r="E15" i="22"/>
  <c r="D15" i="22"/>
  <c r="C15" i="22"/>
  <c r="K14" i="22"/>
  <c r="J14" i="22"/>
  <c r="I14" i="22"/>
  <c r="H14" i="22"/>
  <c r="G14" i="22"/>
  <c r="F14" i="22"/>
  <c r="E14" i="22"/>
  <c r="D14" i="22"/>
  <c r="C14" i="22"/>
  <c r="K13" i="22"/>
  <c r="J13" i="22"/>
  <c r="I13" i="22"/>
  <c r="H13" i="22"/>
  <c r="G13" i="22"/>
  <c r="F13" i="22"/>
  <c r="E13" i="22"/>
  <c r="D13" i="22"/>
  <c r="C13" i="22"/>
  <c r="K12" i="22"/>
  <c r="J12" i="22"/>
  <c r="I12" i="22"/>
  <c r="H12" i="22"/>
  <c r="G12" i="22"/>
  <c r="F12" i="22"/>
  <c r="E12" i="22"/>
  <c r="D12" i="22"/>
  <c r="C12" i="22"/>
  <c r="K14" i="21"/>
  <c r="J14" i="21"/>
  <c r="I14" i="21"/>
  <c r="H14" i="21"/>
  <c r="G14" i="21"/>
  <c r="F14" i="21"/>
  <c r="E14" i="21"/>
  <c r="D14" i="21"/>
  <c r="C14" i="21"/>
  <c r="K13" i="21"/>
  <c r="J13" i="21"/>
  <c r="I13" i="21"/>
  <c r="H13" i="21"/>
  <c r="G13" i="21"/>
  <c r="F13" i="21"/>
  <c r="E13" i="21"/>
  <c r="D13" i="21"/>
  <c r="C13" i="21"/>
  <c r="K12" i="21"/>
  <c r="J12" i="21"/>
  <c r="I12" i="21"/>
  <c r="H12" i="21"/>
  <c r="G12" i="21"/>
  <c r="F12" i="21"/>
  <c r="E12" i="21"/>
  <c r="D12" i="21"/>
  <c r="C12" i="21"/>
  <c r="L69" i="20"/>
  <c r="K69" i="20"/>
  <c r="J69" i="20"/>
  <c r="I69" i="20"/>
  <c r="H69" i="20"/>
  <c r="G69" i="20"/>
  <c r="F69" i="20"/>
  <c r="E69" i="20"/>
  <c r="D69" i="20"/>
  <c r="C69" i="20"/>
  <c r="L68" i="20"/>
  <c r="K68" i="20"/>
  <c r="J68" i="20"/>
  <c r="I68" i="20"/>
  <c r="H68" i="20"/>
  <c r="G68" i="20"/>
  <c r="F68" i="20"/>
  <c r="E68" i="20"/>
  <c r="D68" i="20"/>
  <c r="C68" i="20"/>
  <c r="L67" i="20"/>
  <c r="K67" i="20"/>
  <c r="J67" i="20"/>
  <c r="I67" i="20"/>
  <c r="H67" i="20"/>
  <c r="G67" i="20"/>
  <c r="F67" i="20"/>
  <c r="E67" i="20"/>
  <c r="D67" i="20"/>
  <c r="C67" i="20"/>
  <c r="L66" i="20"/>
  <c r="K66" i="20"/>
  <c r="J66" i="20"/>
  <c r="I66" i="20"/>
  <c r="H66" i="20"/>
  <c r="G66" i="20"/>
  <c r="F66" i="20"/>
  <c r="E66" i="20"/>
  <c r="D66" i="20"/>
  <c r="C66" i="20"/>
  <c r="L65" i="20"/>
  <c r="K65" i="20"/>
  <c r="J65" i="20"/>
  <c r="I65" i="20"/>
  <c r="H65" i="20"/>
  <c r="G65" i="20"/>
  <c r="F65" i="20"/>
  <c r="E65" i="20"/>
  <c r="D65" i="20"/>
  <c r="C65" i="20"/>
  <c r="L64" i="20"/>
  <c r="K64" i="20"/>
  <c r="J64" i="20"/>
  <c r="I64" i="20"/>
  <c r="H64" i="20"/>
  <c r="G64" i="20"/>
  <c r="F64" i="20"/>
  <c r="E64" i="20"/>
  <c r="D64" i="20"/>
  <c r="C64" i="20"/>
  <c r="L63" i="20"/>
  <c r="K63" i="20"/>
  <c r="J63" i="20"/>
  <c r="I63" i="20"/>
  <c r="H63" i="20"/>
  <c r="G63" i="20"/>
  <c r="F63" i="20"/>
  <c r="E63" i="20"/>
  <c r="D63" i="20"/>
  <c r="C63" i="20"/>
  <c r="L62" i="20"/>
  <c r="K62" i="20"/>
  <c r="J62" i="20"/>
  <c r="I62" i="20"/>
  <c r="H62" i="20"/>
  <c r="G62" i="20"/>
  <c r="F62" i="20"/>
  <c r="E62" i="20"/>
  <c r="D62" i="20"/>
  <c r="C62" i="20"/>
  <c r="L61" i="20"/>
  <c r="K61" i="20"/>
  <c r="J61" i="20"/>
  <c r="I61" i="20"/>
  <c r="H61" i="20"/>
  <c r="G61" i="20"/>
  <c r="F61" i="20"/>
  <c r="E61" i="20"/>
  <c r="D61" i="20"/>
  <c r="C61" i="20"/>
  <c r="L60" i="20"/>
  <c r="K60" i="20"/>
  <c r="J60" i="20"/>
  <c r="I60" i="20"/>
  <c r="H60" i="20"/>
  <c r="G60" i="20"/>
  <c r="F60" i="20"/>
  <c r="E60" i="20"/>
  <c r="D60" i="20"/>
  <c r="C60" i="20"/>
  <c r="L59" i="20"/>
  <c r="K59" i="20"/>
  <c r="J59" i="20"/>
  <c r="I59" i="20"/>
  <c r="H59" i="20"/>
  <c r="G59" i="20"/>
  <c r="F59" i="20"/>
  <c r="E59" i="20"/>
  <c r="D59" i="20"/>
  <c r="C59" i="20"/>
  <c r="L58" i="20"/>
  <c r="K58" i="20"/>
  <c r="J58" i="20"/>
  <c r="I58" i="20"/>
  <c r="H58" i="20"/>
  <c r="G58" i="20"/>
  <c r="F58" i="20"/>
  <c r="E58" i="20"/>
  <c r="D58" i="20"/>
  <c r="C58" i="20"/>
  <c r="L57" i="20"/>
  <c r="K57" i="20"/>
  <c r="J57" i="20"/>
  <c r="I57" i="20"/>
  <c r="H57" i="20"/>
  <c r="G57" i="20"/>
  <c r="F57" i="20"/>
  <c r="E57" i="20"/>
  <c r="D57" i="20"/>
  <c r="C57" i="20"/>
  <c r="L56" i="20"/>
  <c r="K56" i="20"/>
  <c r="J56" i="20"/>
  <c r="I56" i="20"/>
  <c r="H56" i="20"/>
  <c r="G56" i="20"/>
  <c r="F56" i="20"/>
  <c r="E56" i="20"/>
  <c r="D56" i="20"/>
  <c r="C56" i="20"/>
  <c r="L55" i="20"/>
  <c r="K55" i="20"/>
  <c r="J55" i="20"/>
  <c r="I55" i="20"/>
  <c r="H55" i="20"/>
  <c r="G55" i="20"/>
  <c r="F55" i="20"/>
  <c r="E55" i="20"/>
  <c r="D55" i="20"/>
  <c r="C55" i="20"/>
  <c r="L54" i="20"/>
  <c r="K54" i="20"/>
  <c r="J54" i="20"/>
  <c r="I54" i="20"/>
  <c r="H54" i="20"/>
  <c r="G54" i="20"/>
  <c r="F54" i="20"/>
  <c r="E54" i="20"/>
  <c r="D54" i="20"/>
  <c r="C54" i="20"/>
  <c r="L53" i="20"/>
  <c r="K53" i="20"/>
  <c r="J53" i="20"/>
  <c r="I53" i="20"/>
  <c r="H53" i="20"/>
  <c r="G53" i="20"/>
  <c r="F53" i="20"/>
  <c r="E53" i="20"/>
  <c r="D53" i="20"/>
  <c r="C53" i="20"/>
  <c r="L52" i="20"/>
  <c r="K52" i="20"/>
  <c r="J52" i="20"/>
  <c r="I52" i="20"/>
  <c r="H52" i="20"/>
  <c r="G52" i="20"/>
  <c r="F52" i="20"/>
  <c r="E52" i="20"/>
  <c r="D52" i="20"/>
  <c r="C52" i="20"/>
  <c r="L51" i="20"/>
  <c r="K51" i="20"/>
  <c r="J51" i="20"/>
  <c r="I51" i="20"/>
  <c r="H51" i="20"/>
  <c r="G51" i="20"/>
  <c r="F51" i="20"/>
  <c r="E51" i="20"/>
  <c r="D51" i="20"/>
  <c r="C51" i="20"/>
  <c r="L50" i="20"/>
  <c r="K50" i="20"/>
  <c r="J50" i="20"/>
  <c r="I50" i="20"/>
  <c r="H50" i="20"/>
  <c r="G50" i="20"/>
  <c r="F50" i="20"/>
  <c r="E50" i="20"/>
  <c r="D50" i="20"/>
  <c r="C50" i="20"/>
  <c r="L49" i="20"/>
  <c r="K49" i="20"/>
  <c r="J49" i="20"/>
  <c r="I49" i="20"/>
  <c r="H49" i="20"/>
  <c r="G49" i="20"/>
  <c r="F49" i="20"/>
  <c r="E49" i="20"/>
  <c r="D49" i="20"/>
  <c r="C49" i="20"/>
  <c r="L48" i="20"/>
  <c r="K48" i="20"/>
  <c r="J48" i="20"/>
  <c r="I48" i="20"/>
  <c r="H48" i="20"/>
  <c r="G48" i="20"/>
  <c r="F48" i="20"/>
  <c r="E48" i="20"/>
  <c r="D48" i="20"/>
  <c r="C48" i="20"/>
  <c r="L47" i="20"/>
  <c r="K47" i="20"/>
  <c r="J47" i="20"/>
  <c r="I47" i="20"/>
  <c r="H47" i="20"/>
  <c r="G47" i="20"/>
  <c r="F47" i="20"/>
  <c r="E47" i="20"/>
  <c r="D47" i="20"/>
  <c r="C47" i="20"/>
  <c r="L46" i="20"/>
  <c r="K46" i="20"/>
  <c r="J46" i="20"/>
  <c r="I46" i="20"/>
  <c r="H46" i="20"/>
  <c r="G46" i="20"/>
  <c r="F46" i="20"/>
  <c r="E46" i="20"/>
  <c r="D46" i="20"/>
  <c r="C46" i="20"/>
  <c r="L45" i="20"/>
  <c r="K45" i="20"/>
  <c r="J45" i="20"/>
  <c r="I45" i="20"/>
  <c r="H45" i="20"/>
  <c r="G45" i="20"/>
  <c r="F45" i="20"/>
  <c r="E45" i="20"/>
  <c r="D45" i="20"/>
  <c r="C45" i="20"/>
  <c r="L44" i="20"/>
  <c r="K44" i="20"/>
  <c r="J44" i="20"/>
  <c r="I44" i="20"/>
  <c r="H44" i="20"/>
  <c r="G44" i="20"/>
  <c r="F44" i="20"/>
  <c r="E44" i="20"/>
  <c r="D44" i="20"/>
  <c r="C44" i="20"/>
  <c r="L43" i="20"/>
  <c r="K43" i="20"/>
  <c r="J43" i="20"/>
  <c r="I43" i="20"/>
  <c r="H43" i="20"/>
  <c r="G43" i="20"/>
  <c r="F43" i="20"/>
  <c r="E43" i="20"/>
  <c r="D43" i="20"/>
  <c r="C43" i="20"/>
  <c r="L42" i="20"/>
  <c r="K42" i="20"/>
  <c r="J42" i="20"/>
  <c r="I42" i="20"/>
  <c r="H42" i="20"/>
  <c r="G42" i="20"/>
  <c r="F42" i="20"/>
  <c r="E42" i="20"/>
  <c r="D42" i="20"/>
  <c r="C42" i="20"/>
  <c r="L41" i="20"/>
  <c r="K41" i="20"/>
  <c r="J41" i="20"/>
  <c r="I41" i="20"/>
  <c r="H41" i="20"/>
  <c r="G41" i="20"/>
  <c r="F41" i="20"/>
  <c r="E41" i="20"/>
  <c r="D41" i="20"/>
  <c r="C41" i="20"/>
  <c r="L40" i="20"/>
  <c r="K40" i="20"/>
  <c r="J40" i="20"/>
  <c r="I40" i="20"/>
  <c r="H40" i="20"/>
  <c r="G40" i="20"/>
  <c r="F40" i="20"/>
  <c r="E40" i="20"/>
  <c r="D40" i="20"/>
  <c r="C40" i="20"/>
  <c r="L39" i="20"/>
  <c r="K39" i="20"/>
  <c r="J39" i="20"/>
  <c r="I39" i="20"/>
  <c r="H39" i="20"/>
  <c r="G39" i="20"/>
  <c r="F39" i="20"/>
  <c r="E39" i="20"/>
  <c r="D39" i="20"/>
  <c r="C39" i="20"/>
  <c r="L38" i="20"/>
  <c r="K38" i="20"/>
  <c r="J38" i="20"/>
  <c r="I38" i="20"/>
  <c r="H38" i="20"/>
  <c r="G38" i="20"/>
  <c r="F38" i="20"/>
  <c r="E38" i="20"/>
  <c r="D38" i="20"/>
  <c r="C38" i="20"/>
  <c r="L37" i="20"/>
  <c r="K37" i="20"/>
  <c r="J37" i="20"/>
  <c r="I37" i="20"/>
  <c r="H37" i="20"/>
  <c r="G37" i="20"/>
  <c r="F37" i="20"/>
  <c r="E37" i="20"/>
  <c r="D37" i="20"/>
  <c r="C37" i="20"/>
  <c r="L36" i="20"/>
  <c r="K36" i="20"/>
  <c r="J36" i="20"/>
  <c r="I36" i="20"/>
  <c r="H36" i="20"/>
  <c r="G36" i="20"/>
  <c r="F36" i="20"/>
  <c r="E36" i="20"/>
  <c r="D36" i="20"/>
  <c r="C36" i="20"/>
  <c r="L35" i="20"/>
  <c r="K35" i="20"/>
  <c r="J35" i="20"/>
  <c r="I35" i="20"/>
  <c r="H35" i="20"/>
  <c r="G35" i="20"/>
  <c r="F35" i="20"/>
  <c r="E35" i="20"/>
  <c r="D35" i="20"/>
  <c r="C35" i="20"/>
  <c r="L34" i="20"/>
  <c r="K34" i="20"/>
  <c r="J34" i="20"/>
  <c r="I34" i="20"/>
  <c r="H34" i="20"/>
  <c r="G34" i="20"/>
  <c r="F34" i="20"/>
  <c r="E34" i="20"/>
  <c r="D34" i="20"/>
  <c r="C34" i="20"/>
  <c r="L33" i="20"/>
  <c r="K33" i="20"/>
  <c r="J33" i="20"/>
  <c r="I33" i="20"/>
  <c r="H33" i="20"/>
  <c r="G33" i="20"/>
  <c r="F33" i="20"/>
  <c r="E33" i="20"/>
  <c r="D33" i="20"/>
  <c r="C33" i="20"/>
  <c r="L32" i="20"/>
  <c r="K32" i="20"/>
  <c r="J32" i="20"/>
  <c r="I32" i="20"/>
  <c r="H32" i="20"/>
  <c r="G32" i="20"/>
  <c r="F32" i="20"/>
  <c r="E32" i="20"/>
  <c r="D32" i="20"/>
  <c r="C32" i="20"/>
  <c r="L31" i="20"/>
  <c r="K31" i="20"/>
  <c r="J31" i="20"/>
  <c r="I31" i="20"/>
  <c r="H31" i="20"/>
  <c r="G31" i="20"/>
  <c r="F31" i="20"/>
  <c r="E31" i="20"/>
  <c r="D31" i="20"/>
  <c r="C31" i="20"/>
  <c r="L30" i="20"/>
  <c r="K30" i="20"/>
  <c r="J30" i="20"/>
  <c r="I30" i="20"/>
  <c r="H30" i="20"/>
  <c r="G30" i="20"/>
  <c r="F30" i="20"/>
  <c r="E30" i="20"/>
  <c r="D30" i="20"/>
  <c r="C30" i="20"/>
  <c r="L29" i="20"/>
  <c r="K29" i="20"/>
  <c r="J29" i="20"/>
  <c r="I29" i="20"/>
  <c r="H29" i="20"/>
  <c r="G29" i="20"/>
  <c r="F29" i="20"/>
  <c r="E29" i="20"/>
  <c r="D29" i="20"/>
  <c r="C29" i="20"/>
  <c r="L28" i="20"/>
  <c r="K28" i="20"/>
  <c r="J28" i="20"/>
  <c r="I28" i="20"/>
  <c r="H28" i="20"/>
  <c r="G28" i="20"/>
  <c r="F28" i="20"/>
  <c r="E28" i="20"/>
  <c r="D28" i="20"/>
  <c r="C28" i="20"/>
  <c r="L27" i="20"/>
  <c r="K27" i="20"/>
  <c r="J27" i="20"/>
  <c r="I27" i="20"/>
  <c r="H27" i="20"/>
  <c r="G27" i="20"/>
  <c r="F27" i="20"/>
  <c r="E27" i="20"/>
  <c r="D27" i="20"/>
  <c r="C27" i="20"/>
  <c r="L26" i="20"/>
  <c r="K26" i="20"/>
  <c r="J26" i="20"/>
  <c r="I26" i="20"/>
  <c r="H26" i="20"/>
  <c r="G26" i="20"/>
  <c r="F26" i="20"/>
  <c r="E26" i="20"/>
  <c r="D26" i="20"/>
  <c r="C26" i="20"/>
  <c r="L25" i="20"/>
  <c r="K25" i="20"/>
  <c r="J25" i="20"/>
  <c r="I25" i="20"/>
  <c r="H25" i="20"/>
  <c r="G25" i="20"/>
  <c r="F25" i="20"/>
  <c r="E25" i="20"/>
  <c r="D25" i="20"/>
  <c r="C25" i="20"/>
  <c r="L24" i="20"/>
  <c r="K24" i="20"/>
  <c r="J24" i="20"/>
  <c r="I24" i="20"/>
  <c r="H24" i="20"/>
  <c r="G24" i="20"/>
  <c r="F24" i="20"/>
  <c r="E24" i="20"/>
  <c r="D24" i="20"/>
  <c r="C24" i="20"/>
  <c r="L23" i="20"/>
  <c r="K23" i="20"/>
  <c r="J23" i="20"/>
  <c r="I23" i="20"/>
  <c r="H23" i="20"/>
  <c r="G23" i="20"/>
  <c r="F23" i="20"/>
  <c r="E23" i="20"/>
  <c r="D23" i="20"/>
  <c r="C23" i="20"/>
  <c r="L22" i="20"/>
  <c r="K22" i="20"/>
  <c r="J22" i="20"/>
  <c r="I22" i="20"/>
  <c r="H22" i="20"/>
  <c r="G22" i="20"/>
  <c r="F22" i="20"/>
  <c r="E22" i="20"/>
  <c r="D22" i="20"/>
  <c r="C22" i="20"/>
  <c r="L21" i="20"/>
  <c r="K21" i="20"/>
  <c r="J21" i="20"/>
  <c r="I21" i="20"/>
  <c r="H21" i="20"/>
  <c r="G21" i="20"/>
  <c r="F21" i="20"/>
  <c r="E21" i="20"/>
  <c r="D21" i="20"/>
  <c r="C21" i="20"/>
  <c r="L20" i="20"/>
  <c r="K20" i="20"/>
  <c r="J20" i="20"/>
  <c r="I20" i="20"/>
  <c r="H20" i="20"/>
  <c r="G20" i="20"/>
  <c r="F20" i="20"/>
  <c r="E20" i="20"/>
  <c r="D20" i="20"/>
  <c r="C20" i="20"/>
  <c r="L19" i="20"/>
  <c r="K19" i="20"/>
  <c r="J19" i="20"/>
  <c r="I19" i="20"/>
  <c r="H19" i="20"/>
  <c r="G19" i="20"/>
  <c r="F19" i="20"/>
  <c r="E19" i="20"/>
  <c r="D19" i="20"/>
  <c r="C19" i="20"/>
  <c r="L18" i="20"/>
  <c r="K18" i="20"/>
  <c r="J18" i="20"/>
  <c r="I18" i="20"/>
  <c r="H18" i="20"/>
  <c r="G18" i="20"/>
  <c r="F18" i="20"/>
  <c r="E18" i="20"/>
  <c r="D18" i="20"/>
  <c r="C18" i="20"/>
  <c r="L17" i="20"/>
  <c r="K17" i="20"/>
  <c r="J17" i="20"/>
  <c r="I17" i="20"/>
  <c r="H17" i="20"/>
  <c r="G17" i="20"/>
  <c r="F17" i="20"/>
  <c r="E17" i="20"/>
  <c r="D17" i="20"/>
  <c r="C17" i="20"/>
  <c r="L16" i="20"/>
  <c r="K16" i="20"/>
  <c r="J16" i="20"/>
  <c r="I16" i="20"/>
  <c r="H16" i="20"/>
  <c r="G16" i="20"/>
  <c r="F16" i="20"/>
  <c r="E16" i="20"/>
  <c r="D16" i="20"/>
  <c r="C16" i="20"/>
  <c r="L15" i="20"/>
  <c r="K15" i="20"/>
  <c r="J15" i="20"/>
  <c r="I15" i="20"/>
  <c r="H15" i="20"/>
  <c r="G15" i="20"/>
  <c r="F15" i="20"/>
  <c r="E15" i="20"/>
  <c r="D15" i="20"/>
  <c r="C15" i="20"/>
  <c r="R14" i="20"/>
  <c r="Q14" i="20"/>
  <c r="P14" i="20"/>
  <c r="O14" i="20"/>
  <c r="L14" i="20"/>
  <c r="K14" i="20"/>
  <c r="J14" i="20"/>
  <c r="I14" i="20"/>
  <c r="H14" i="20"/>
  <c r="G14" i="20"/>
  <c r="F14" i="20"/>
  <c r="E14" i="20"/>
  <c r="D14" i="20"/>
  <c r="C14" i="20"/>
  <c r="R13" i="20"/>
  <c r="Q13" i="20"/>
  <c r="P13" i="20"/>
  <c r="O13" i="20"/>
  <c r="L13" i="20"/>
  <c r="K13" i="20"/>
  <c r="J13" i="20"/>
  <c r="I13" i="20"/>
  <c r="H13" i="20"/>
  <c r="G13" i="20"/>
  <c r="F13" i="20"/>
  <c r="E13" i="20"/>
  <c r="D13" i="20"/>
  <c r="C13" i="20"/>
  <c r="R12" i="20"/>
  <c r="Q12" i="20"/>
  <c r="P12" i="20"/>
  <c r="O12" i="20"/>
  <c r="L12" i="20"/>
  <c r="K12" i="20"/>
  <c r="J12" i="20"/>
  <c r="I12" i="20"/>
  <c r="H12" i="20"/>
  <c r="G12" i="20"/>
  <c r="F12" i="20"/>
  <c r="E12" i="20"/>
  <c r="D12" i="20"/>
  <c r="C12" i="20"/>
  <c r="K13" i="19"/>
  <c r="J13" i="19"/>
  <c r="I13" i="19"/>
  <c r="H13" i="19"/>
  <c r="G13" i="19"/>
  <c r="F13" i="19"/>
  <c r="E13" i="19"/>
  <c r="D13" i="19"/>
  <c r="C13" i="19"/>
  <c r="K12" i="19"/>
  <c r="J12" i="19"/>
  <c r="I12" i="19"/>
  <c r="H12" i="19"/>
  <c r="G12" i="19"/>
  <c r="F12" i="19"/>
  <c r="E12" i="19"/>
  <c r="D12" i="19"/>
  <c r="C12" i="19"/>
  <c r="L45" i="18"/>
  <c r="K45" i="18"/>
  <c r="J45" i="18"/>
  <c r="I45" i="18"/>
  <c r="L44" i="18"/>
  <c r="K44" i="18"/>
  <c r="J44" i="18"/>
  <c r="I44" i="18"/>
  <c r="L43" i="18"/>
  <c r="K43" i="18"/>
  <c r="J43" i="18"/>
  <c r="I43" i="18"/>
  <c r="L41" i="18"/>
  <c r="K41" i="18"/>
  <c r="J41" i="18"/>
  <c r="I41" i="18"/>
  <c r="L40" i="18"/>
  <c r="K40" i="18"/>
  <c r="J40" i="18"/>
  <c r="I40" i="18"/>
  <c r="L39" i="18"/>
  <c r="K39" i="18"/>
  <c r="J39" i="18"/>
  <c r="I39" i="18"/>
  <c r="L38" i="18"/>
  <c r="K38" i="18"/>
  <c r="J38" i="18"/>
  <c r="I38" i="18"/>
  <c r="L33" i="18"/>
  <c r="K33" i="18"/>
  <c r="J33" i="18"/>
  <c r="I33" i="18"/>
  <c r="H33" i="18"/>
  <c r="G33" i="18"/>
  <c r="F33" i="18"/>
  <c r="E33" i="18"/>
  <c r="D33" i="18"/>
  <c r="C33" i="18"/>
  <c r="L32" i="18"/>
  <c r="K32" i="18"/>
  <c r="J32" i="18"/>
  <c r="I32" i="18"/>
  <c r="H32" i="18"/>
  <c r="G32" i="18"/>
  <c r="F32" i="18"/>
  <c r="E32" i="18"/>
  <c r="D32" i="18"/>
  <c r="C32" i="18"/>
  <c r="L31" i="18"/>
  <c r="K31" i="18"/>
  <c r="J31" i="18"/>
  <c r="I31" i="18"/>
  <c r="H31" i="18"/>
  <c r="G31" i="18"/>
  <c r="F31" i="18"/>
  <c r="E31" i="18"/>
  <c r="D31" i="18"/>
  <c r="C31" i="18"/>
  <c r="L30" i="18"/>
  <c r="K30" i="18"/>
  <c r="J30" i="18"/>
  <c r="I30" i="18"/>
  <c r="H30" i="18"/>
  <c r="G30" i="18"/>
  <c r="F30" i="18"/>
  <c r="E30" i="18"/>
  <c r="D30" i="18"/>
  <c r="C30" i="18"/>
  <c r="L29" i="18"/>
  <c r="K29" i="18"/>
  <c r="J29" i="18"/>
  <c r="I29" i="18"/>
  <c r="H29" i="18"/>
  <c r="G29" i="18"/>
  <c r="F29" i="18"/>
  <c r="E29" i="18"/>
  <c r="D29" i="18"/>
  <c r="C29" i="18"/>
  <c r="L28" i="18"/>
  <c r="K28" i="18"/>
  <c r="J28" i="18"/>
  <c r="I28" i="18"/>
  <c r="H28" i="18"/>
  <c r="G28" i="18"/>
  <c r="F28" i="18"/>
  <c r="E28" i="18"/>
  <c r="D28" i="18"/>
  <c r="C28" i="18"/>
  <c r="L27" i="18"/>
  <c r="K27" i="18"/>
  <c r="J27" i="18"/>
  <c r="I27" i="18"/>
  <c r="H27" i="18"/>
  <c r="G27" i="18"/>
  <c r="F27" i="18"/>
  <c r="E27" i="18"/>
  <c r="D27" i="18"/>
  <c r="C27" i="18"/>
  <c r="L26" i="18"/>
  <c r="K26" i="18"/>
  <c r="J26" i="18"/>
  <c r="I26" i="18"/>
  <c r="H26" i="18"/>
  <c r="G26" i="18"/>
  <c r="F26" i="18"/>
  <c r="E26" i="18"/>
  <c r="D26" i="18"/>
  <c r="C26" i="18"/>
  <c r="L25" i="18"/>
  <c r="K25" i="18"/>
  <c r="J25" i="18"/>
  <c r="I25" i="18"/>
  <c r="H25" i="18"/>
  <c r="G25" i="18"/>
  <c r="F25" i="18"/>
  <c r="E25" i="18"/>
  <c r="D25" i="18"/>
  <c r="C25" i="18"/>
  <c r="L24" i="18"/>
  <c r="K24" i="18"/>
  <c r="J24" i="18"/>
  <c r="I24" i="18"/>
  <c r="H24" i="18"/>
  <c r="G24" i="18"/>
  <c r="F24" i="18"/>
  <c r="E24" i="18"/>
  <c r="D24" i="18"/>
  <c r="C24" i="18"/>
  <c r="L23" i="18"/>
  <c r="K23" i="18"/>
  <c r="J23" i="18"/>
  <c r="I23" i="18"/>
  <c r="H23" i="18"/>
  <c r="G23" i="18"/>
  <c r="F23" i="18"/>
  <c r="E23" i="18"/>
  <c r="D23" i="18"/>
  <c r="C23" i="18"/>
  <c r="L22" i="18"/>
  <c r="K22" i="18"/>
  <c r="J22" i="18"/>
  <c r="I22" i="18"/>
  <c r="H22" i="18"/>
  <c r="G22" i="18"/>
  <c r="F22" i="18"/>
  <c r="E22" i="18"/>
  <c r="D22" i="18"/>
  <c r="C22" i="18"/>
  <c r="L21" i="18"/>
  <c r="K21" i="18"/>
  <c r="J21" i="18"/>
  <c r="I21" i="18"/>
  <c r="H21" i="18"/>
  <c r="G21" i="18"/>
  <c r="F21" i="18"/>
  <c r="E21" i="18"/>
  <c r="D21" i="18"/>
  <c r="C21" i="18"/>
  <c r="L20" i="18"/>
  <c r="K20" i="18"/>
  <c r="J20" i="18"/>
  <c r="I20" i="18"/>
  <c r="H20" i="18"/>
  <c r="G20" i="18"/>
  <c r="F20" i="18"/>
  <c r="E20" i="18"/>
  <c r="D20" i="18"/>
  <c r="C20" i="18"/>
  <c r="L19" i="18"/>
  <c r="K19" i="18"/>
  <c r="J19" i="18"/>
  <c r="I19" i="18"/>
  <c r="H19" i="18"/>
  <c r="G19" i="18"/>
  <c r="F19" i="18"/>
  <c r="E19" i="18"/>
  <c r="D19" i="18"/>
  <c r="C19" i="18"/>
  <c r="L18" i="18"/>
  <c r="K18" i="18"/>
  <c r="J18" i="18"/>
  <c r="I18" i="18"/>
  <c r="H18" i="18"/>
  <c r="G18" i="18"/>
  <c r="F18" i="18"/>
  <c r="E18" i="18"/>
  <c r="D18" i="18"/>
  <c r="C18" i="18"/>
  <c r="L17" i="18"/>
  <c r="K17" i="18"/>
  <c r="J17" i="18"/>
  <c r="I17" i="18"/>
  <c r="H17" i="18"/>
  <c r="G17" i="18"/>
  <c r="F17" i="18"/>
  <c r="E17" i="18"/>
  <c r="D17" i="18"/>
  <c r="C17" i="18"/>
  <c r="L16" i="18"/>
  <c r="K16" i="18"/>
  <c r="J16" i="18"/>
  <c r="I16" i="18"/>
  <c r="H16" i="18"/>
  <c r="G16" i="18"/>
  <c r="F16" i="18"/>
  <c r="E16" i="18"/>
  <c r="D16" i="18"/>
  <c r="C16" i="18"/>
  <c r="L15" i="18"/>
  <c r="K15" i="18"/>
  <c r="J15" i="18"/>
  <c r="I15" i="18"/>
  <c r="H15" i="18"/>
  <c r="G15" i="18"/>
  <c r="F15" i="18"/>
  <c r="E15" i="18"/>
  <c r="D15" i="18"/>
  <c r="C15" i="18"/>
  <c r="L14" i="18"/>
  <c r="K14" i="18"/>
  <c r="J14" i="18"/>
  <c r="I14" i="18"/>
  <c r="H14" i="18"/>
  <c r="G14" i="18"/>
  <c r="F14" i="18"/>
  <c r="E14" i="18"/>
  <c r="D14" i="18"/>
  <c r="C14" i="18"/>
  <c r="L13" i="18"/>
  <c r="K13" i="18"/>
  <c r="J13" i="18"/>
  <c r="I13" i="18"/>
  <c r="H13" i="18"/>
  <c r="G13" i="18"/>
  <c r="F13" i="18"/>
  <c r="E13" i="18"/>
  <c r="D13" i="18"/>
  <c r="C13" i="18"/>
  <c r="L12" i="18"/>
  <c r="K12" i="18"/>
  <c r="J12" i="18"/>
  <c r="I12" i="18"/>
  <c r="H12" i="18"/>
  <c r="G12" i="18"/>
  <c r="F12" i="18"/>
  <c r="E12" i="18"/>
  <c r="D12" i="18"/>
  <c r="C12" i="18"/>
  <c r="M15" i="17"/>
  <c r="L15" i="17"/>
  <c r="K15" i="17"/>
  <c r="J15" i="17"/>
  <c r="I15" i="17"/>
  <c r="H15" i="17"/>
  <c r="G15" i="17"/>
  <c r="F15" i="17"/>
  <c r="E15" i="17"/>
  <c r="D15" i="17"/>
  <c r="C15" i="17"/>
  <c r="M14" i="17"/>
  <c r="L14" i="17"/>
  <c r="K14" i="17"/>
  <c r="J14" i="17"/>
  <c r="I14" i="17"/>
  <c r="H14" i="17"/>
  <c r="G14" i="17"/>
  <c r="F14" i="17"/>
  <c r="E14" i="17"/>
  <c r="D14" i="17"/>
  <c r="C14" i="17"/>
  <c r="M13" i="17"/>
  <c r="L13" i="17"/>
  <c r="K13" i="17"/>
  <c r="J13" i="17"/>
  <c r="I13" i="17"/>
  <c r="H13" i="17"/>
  <c r="G13" i="17"/>
  <c r="F13" i="17"/>
  <c r="E13" i="17"/>
  <c r="D13" i="17"/>
  <c r="C13" i="17"/>
  <c r="M12" i="17"/>
  <c r="L12" i="17"/>
  <c r="K12" i="17"/>
  <c r="J12" i="17"/>
  <c r="I12" i="17"/>
  <c r="H12" i="17"/>
  <c r="G12" i="17"/>
  <c r="F12" i="17"/>
  <c r="E12" i="17"/>
  <c r="D12" i="17"/>
  <c r="C12" i="17"/>
  <c r="L40" i="16"/>
  <c r="K40" i="16"/>
  <c r="J40" i="16"/>
  <c r="I40" i="16"/>
  <c r="C40" i="16"/>
  <c r="L39" i="16"/>
  <c r="K39" i="16"/>
  <c r="J39" i="16"/>
  <c r="I39" i="16"/>
  <c r="C39" i="16"/>
  <c r="L38" i="16"/>
  <c r="K38" i="16"/>
  <c r="J38" i="16"/>
  <c r="I38" i="16"/>
  <c r="C38" i="16"/>
  <c r="L32" i="16"/>
  <c r="K32" i="16"/>
  <c r="J32" i="16"/>
  <c r="I32" i="16"/>
  <c r="C32" i="16"/>
  <c r="L31" i="16"/>
  <c r="K31" i="16"/>
  <c r="J31" i="16"/>
  <c r="I31" i="16"/>
  <c r="C31" i="16"/>
  <c r="L30" i="16"/>
  <c r="K30" i="16"/>
  <c r="J30" i="16"/>
  <c r="I30" i="16"/>
  <c r="C30" i="16"/>
  <c r="L26" i="16"/>
  <c r="K26" i="16"/>
  <c r="J26" i="16"/>
  <c r="I26" i="16"/>
  <c r="H26" i="16"/>
  <c r="G26" i="16"/>
  <c r="F26" i="16"/>
  <c r="E26" i="16"/>
  <c r="D26" i="16"/>
  <c r="C26" i="16"/>
  <c r="L25" i="16"/>
  <c r="K25" i="16"/>
  <c r="J25" i="16"/>
  <c r="I25" i="16"/>
  <c r="H25" i="16"/>
  <c r="G25" i="16"/>
  <c r="F25" i="16"/>
  <c r="E25" i="16"/>
  <c r="D25" i="16"/>
  <c r="C25" i="16"/>
  <c r="L24" i="16"/>
  <c r="K24" i="16"/>
  <c r="J24" i="16"/>
  <c r="I24" i="16"/>
  <c r="H24" i="16"/>
  <c r="G24" i="16"/>
  <c r="F24" i="16"/>
  <c r="E24" i="16"/>
  <c r="D24" i="16"/>
  <c r="C24" i="16"/>
  <c r="L21" i="16"/>
  <c r="K21" i="16"/>
  <c r="J21" i="16"/>
  <c r="I21" i="16"/>
  <c r="H21" i="16"/>
  <c r="G21" i="16"/>
  <c r="F21" i="16"/>
  <c r="E21" i="16"/>
  <c r="D21" i="16"/>
  <c r="C21" i="16"/>
  <c r="L20" i="16"/>
  <c r="K20" i="16"/>
  <c r="J20" i="16"/>
  <c r="I20" i="16"/>
  <c r="H20" i="16"/>
  <c r="G20" i="16"/>
  <c r="F20" i="16"/>
  <c r="E20" i="16"/>
  <c r="D20" i="16"/>
  <c r="C20" i="16"/>
  <c r="L18" i="16"/>
  <c r="K18" i="16"/>
  <c r="J18" i="16"/>
  <c r="I18" i="16"/>
  <c r="H18" i="16"/>
  <c r="G18" i="16"/>
  <c r="F18" i="16"/>
  <c r="E18" i="16"/>
  <c r="D18" i="16"/>
  <c r="C18" i="16"/>
  <c r="L16" i="16"/>
  <c r="K16" i="16"/>
  <c r="J16" i="16"/>
  <c r="I16" i="16"/>
  <c r="H16" i="16"/>
  <c r="G16" i="16"/>
  <c r="F16" i="16"/>
  <c r="E16" i="16"/>
  <c r="D16" i="16"/>
  <c r="C16" i="16"/>
  <c r="L14" i="16"/>
  <c r="K14" i="16"/>
  <c r="J14" i="16"/>
  <c r="I14" i="16"/>
  <c r="H14" i="16"/>
  <c r="G14" i="16"/>
  <c r="F14" i="16"/>
  <c r="E14" i="16"/>
  <c r="D14" i="16"/>
  <c r="C14" i="16"/>
  <c r="L13" i="16"/>
  <c r="K13" i="16"/>
  <c r="J13" i="16"/>
  <c r="I13" i="16"/>
  <c r="H13" i="16"/>
  <c r="G13" i="16"/>
  <c r="F13" i="16"/>
  <c r="E13" i="16"/>
  <c r="D13" i="16"/>
  <c r="C13" i="16"/>
  <c r="L12" i="16"/>
  <c r="K12" i="16"/>
  <c r="J12" i="16"/>
  <c r="I12" i="16"/>
  <c r="H12" i="16"/>
  <c r="G12" i="16"/>
  <c r="F12" i="16"/>
  <c r="E12" i="16"/>
  <c r="D12" i="16"/>
  <c r="C12" i="16"/>
  <c r="L18" i="15"/>
  <c r="K18" i="15"/>
  <c r="J18" i="15"/>
  <c r="I18" i="15"/>
  <c r="H18" i="15"/>
  <c r="G18" i="15"/>
  <c r="F18" i="15"/>
  <c r="E18" i="15"/>
  <c r="D18" i="15"/>
  <c r="C18" i="15"/>
  <c r="L17" i="15"/>
  <c r="K17" i="15"/>
  <c r="J17" i="15"/>
  <c r="I17" i="15"/>
  <c r="H17" i="15"/>
  <c r="G17" i="15"/>
  <c r="F17" i="15"/>
  <c r="E17" i="15"/>
  <c r="D17" i="15"/>
  <c r="C17" i="15"/>
  <c r="L16" i="15"/>
  <c r="K16" i="15"/>
  <c r="J16" i="15"/>
  <c r="I16" i="15"/>
  <c r="H16" i="15"/>
  <c r="G16" i="15"/>
  <c r="F16" i="15"/>
  <c r="E16" i="15"/>
  <c r="D16" i="15"/>
  <c r="C16" i="15"/>
  <c r="L15" i="15"/>
  <c r="K15" i="15"/>
  <c r="J15" i="15"/>
  <c r="I15" i="15"/>
  <c r="H15" i="15"/>
  <c r="G15" i="15"/>
  <c r="F15" i="15"/>
  <c r="E15" i="15"/>
  <c r="D15" i="15"/>
  <c r="C15" i="15"/>
  <c r="L14" i="15"/>
  <c r="K14" i="15"/>
  <c r="J14" i="15"/>
  <c r="I14" i="15"/>
  <c r="H14" i="15"/>
  <c r="G14" i="15"/>
  <c r="F14" i="15"/>
  <c r="E14" i="15"/>
  <c r="D14" i="15"/>
  <c r="C14" i="15"/>
  <c r="L13" i="15"/>
  <c r="K13" i="15"/>
  <c r="J13" i="15"/>
  <c r="I13" i="15"/>
  <c r="H13" i="15"/>
  <c r="G13" i="15"/>
  <c r="F13" i="15"/>
  <c r="E13" i="15"/>
  <c r="D13" i="15"/>
  <c r="C13" i="15"/>
  <c r="L12" i="15"/>
  <c r="K12" i="15"/>
  <c r="J12" i="15"/>
  <c r="I12" i="15"/>
  <c r="H12" i="15"/>
  <c r="G12" i="15"/>
  <c r="F12" i="15"/>
  <c r="E12" i="15"/>
  <c r="D12" i="15"/>
  <c r="C12" i="15"/>
  <c r="L55" i="14"/>
  <c r="K55" i="14"/>
  <c r="J55" i="14"/>
  <c r="I55" i="14"/>
  <c r="C55" i="14"/>
  <c r="L54" i="14"/>
  <c r="K54" i="14"/>
  <c r="J54" i="14"/>
  <c r="I54" i="14"/>
  <c r="C54" i="14"/>
  <c r="L52" i="14"/>
  <c r="K52" i="14"/>
  <c r="J52" i="14"/>
  <c r="I52" i="14"/>
  <c r="C52" i="14"/>
  <c r="L51" i="14"/>
  <c r="K51" i="14"/>
  <c r="J51" i="14"/>
  <c r="I51" i="14"/>
  <c r="C51" i="14"/>
  <c r="L50" i="14"/>
  <c r="K50" i="14"/>
  <c r="J50" i="14"/>
  <c r="I50" i="14"/>
  <c r="C50" i="14"/>
  <c r="L49" i="14"/>
  <c r="K49" i="14"/>
  <c r="J49" i="14"/>
  <c r="I49" i="14"/>
  <c r="C49" i="14"/>
  <c r="L48" i="14"/>
  <c r="K48" i="14"/>
  <c r="J48" i="14"/>
  <c r="I48" i="14"/>
  <c r="C48" i="14"/>
  <c r="L47" i="14"/>
  <c r="K47" i="14"/>
  <c r="J47" i="14"/>
  <c r="I47" i="14"/>
  <c r="C47" i="14"/>
  <c r="L45" i="14"/>
  <c r="K45" i="14"/>
  <c r="J45" i="14"/>
  <c r="I45" i="14"/>
  <c r="C45" i="14"/>
  <c r="L44" i="14"/>
  <c r="K44" i="14"/>
  <c r="J44" i="14"/>
  <c r="I44" i="14"/>
  <c r="C44" i="14"/>
  <c r="L43" i="14"/>
  <c r="K43" i="14"/>
  <c r="J43" i="14"/>
  <c r="I43" i="14"/>
  <c r="C43" i="14"/>
  <c r="L42" i="14"/>
  <c r="K42" i="14"/>
  <c r="J42" i="14"/>
  <c r="I42" i="14"/>
  <c r="C42" i="14"/>
  <c r="L41" i="14"/>
  <c r="K41" i="14"/>
  <c r="J41" i="14"/>
  <c r="I41" i="14"/>
  <c r="C41" i="14"/>
  <c r="L40" i="14"/>
  <c r="K40" i="14"/>
  <c r="J40" i="14"/>
  <c r="I40" i="14"/>
  <c r="C40" i="14"/>
  <c r="L35" i="14"/>
  <c r="K35" i="14"/>
  <c r="J35" i="14"/>
  <c r="I35" i="14"/>
  <c r="C35" i="14"/>
  <c r="L34" i="14"/>
  <c r="K34" i="14"/>
  <c r="J34" i="14"/>
  <c r="I34" i="14"/>
  <c r="C34" i="14"/>
  <c r="L30" i="14"/>
  <c r="K30" i="14"/>
  <c r="J30" i="14"/>
  <c r="I30" i="14"/>
  <c r="H30" i="14"/>
  <c r="G30" i="14"/>
  <c r="F30" i="14"/>
  <c r="D30" i="14"/>
  <c r="C30" i="14"/>
  <c r="L29" i="14"/>
  <c r="K29" i="14"/>
  <c r="J29" i="14"/>
  <c r="I29" i="14"/>
  <c r="H29" i="14"/>
  <c r="G29" i="14"/>
  <c r="F29" i="14"/>
  <c r="D29" i="14"/>
  <c r="C29" i="14"/>
  <c r="L19" i="14"/>
  <c r="K19" i="14"/>
  <c r="J19" i="14"/>
  <c r="I19" i="14"/>
  <c r="H19" i="14"/>
  <c r="G19" i="14"/>
  <c r="F19" i="14"/>
  <c r="E19" i="14"/>
  <c r="D19" i="14"/>
  <c r="C19" i="14"/>
  <c r="L18" i="14"/>
  <c r="K18" i="14"/>
  <c r="J18" i="14"/>
  <c r="I18" i="14"/>
  <c r="H18" i="14"/>
  <c r="G18" i="14"/>
  <c r="F18" i="14"/>
  <c r="E18" i="14"/>
  <c r="D18" i="14"/>
  <c r="C18" i="14"/>
  <c r="L17" i="14"/>
  <c r="K17" i="14"/>
  <c r="J17" i="14"/>
  <c r="I17" i="14"/>
  <c r="H17" i="14"/>
  <c r="G17" i="14"/>
  <c r="F17" i="14"/>
  <c r="E17" i="14"/>
  <c r="D17" i="14"/>
  <c r="C17" i="14"/>
  <c r="L16" i="14"/>
  <c r="K16" i="14"/>
  <c r="J16" i="14"/>
  <c r="I16" i="14"/>
  <c r="H16" i="14"/>
  <c r="G16" i="14"/>
  <c r="F16" i="14"/>
  <c r="E16" i="14"/>
  <c r="D16" i="14"/>
  <c r="C16" i="14"/>
  <c r="L15" i="14"/>
  <c r="K15" i="14"/>
  <c r="J15" i="14"/>
  <c r="I15" i="14"/>
  <c r="H15" i="14"/>
  <c r="G15" i="14"/>
  <c r="F15" i="14"/>
  <c r="E15" i="14"/>
  <c r="D15" i="14"/>
  <c r="C15" i="14"/>
  <c r="L14" i="14"/>
  <c r="K14" i="14"/>
  <c r="J14" i="14"/>
  <c r="I14" i="14"/>
  <c r="H14" i="14"/>
  <c r="G14" i="14"/>
  <c r="F14" i="14"/>
  <c r="E14" i="14"/>
  <c r="D14" i="14"/>
  <c r="C14" i="14"/>
  <c r="L13" i="14"/>
  <c r="K13" i="14"/>
  <c r="J13" i="14"/>
  <c r="I13" i="14"/>
  <c r="H13" i="14"/>
  <c r="G13" i="14"/>
  <c r="F13" i="14"/>
  <c r="E13" i="14"/>
  <c r="D13" i="14"/>
  <c r="C13" i="14"/>
  <c r="L12" i="14"/>
  <c r="K12" i="14"/>
  <c r="J12" i="14"/>
  <c r="I12" i="14"/>
  <c r="H12" i="14"/>
  <c r="G12" i="14"/>
  <c r="F12" i="14"/>
  <c r="E12" i="14"/>
  <c r="D12" i="14"/>
  <c r="C12" i="14"/>
  <c r="M43" i="13"/>
  <c r="L43" i="13"/>
  <c r="K43" i="13"/>
  <c r="J43" i="13"/>
  <c r="C43" i="13"/>
  <c r="M42" i="13"/>
  <c r="L42" i="13"/>
  <c r="K42" i="13"/>
  <c r="J42" i="13"/>
  <c r="C42" i="13"/>
  <c r="M40" i="13"/>
  <c r="L40" i="13"/>
  <c r="K40" i="13"/>
  <c r="J40" i="13"/>
  <c r="C40" i="13"/>
  <c r="M39" i="13"/>
  <c r="L39" i="13"/>
  <c r="K39" i="13"/>
  <c r="J39" i="13"/>
  <c r="C39" i="13"/>
  <c r="M38" i="13"/>
  <c r="L38" i="13"/>
  <c r="K38" i="13"/>
  <c r="J38" i="13"/>
  <c r="C38" i="13"/>
  <c r="M37" i="13"/>
  <c r="L37" i="13"/>
  <c r="K37" i="13"/>
  <c r="J37" i="13"/>
  <c r="C37" i="13"/>
  <c r="M36" i="13"/>
  <c r="L36" i="13"/>
  <c r="K36" i="13"/>
  <c r="J36" i="13"/>
  <c r="C36" i="13"/>
  <c r="M35" i="13"/>
  <c r="L35" i="13"/>
  <c r="K35" i="13"/>
  <c r="J35" i="13"/>
  <c r="C35" i="13"/>
  <c r="M33" i="13"/>
  <c r="L33" i="13"/>
  <c r="K33" i="13"/>
  <c r="J33" i="13"/>
  <c r="C33" i="13"/>
  <c r="M32" i="13"/>
  <c r="L32" i="13"/>
  <c r="K32" i="13"/>
  <c r="J32" i="13"/>
  <c r="C32" i="13"/>
  <c r="M25" i="13"/>
  <c r="L25" i="13"/>
  <c r="K25" i="13"/>
  <c r="J25" i="13"/>
  <c r="H25" i="13"/>
  <c r="G25" i="13"/>
  <c r="F25" i="13"/>
  <c r="E25" i="13"/>
  <c r="D25" i="13"/>
  <c r="C25" i="13"/>
  <c r="M24" i="13"/>
  <c r="L24" i="13"/>
  <c r="K24" i="13"/>
  <c r="J24" i="13"/>
  <c r="H24" i="13"/>
  <c r="G24" i="13"/>
  <c r="F24" i="13"/>
  <c r="E24" i="13"/>
  <c r="D24" i="13"/>
  <c r="C24" i="13"/>
  <c r="M23" i="13"/>
  <c r="L23" i="13"/>
  <c r="K23" i="13"/>
  <c r="J23" i="13"/>
  <c r="H23" i="13"/>
  <c r="G23" i="13"/>
  <c r="F23" i="13"/>
  <c r="E23" i="13"/>
  <c r="D23" i="13"/>
  <c r="C23" i="13"/>
  <c r="M22" i="13"/>
  <c r="L22" i="13"/>
  <c r="K22" i="13"/>
  <c r="J22" i="13"/>
  <c r="H22" i="13"/>
  <c r="G22" i="13"/>
  <c r="F22" i="13"/>
  <c r="E22" i="13"/>
  <c r="D22" i="13"/>
  <c r="C22" i="13"/>
  <c r="M21" i="13"/>
  <c r="L21" i="13"/>
  <c r="K21" i="13"/>
  <c r="J21" i="13"/>
  <c r="H21" i="13"/>
  <c r="G21" i="13"/>
  <c r="F21" i="13"/>
  <c r="E21" i="13"/>
  <c r="D21" i="13"/>
  <c r="C21" i="13"/>
  <c r="M20" i="13"/>
  <c r="L20" i="13"/>
  <c r="K20" i="13"/>
  <c r="J20" i="13"/>
  <c r="H20" i="13"/>
  <c r="G20" i="13"/>
  <c r="F20" i="13"/>
  <c r="E20" i="13"/>
  <c r="D20" i="13"/>
  <c r="C20" i="13"/>
  <c r="M19" i="13"/>
  <c r="L19" i="13"/>
  <c r="K19" i="13"/>
  <c r="J19" i="13"/>
  <c r="H19" i="13"/>
  <c r="G19" i="13"/>
  <c r="F19" i="13"/>
  <c r="E19" i="13"/>
  <c r="D19" i="13"/>
  <c r="C19" i="13"/>
  <c r="M18" i="13"/>
  <c r="L18" i="13"/>
  <c r="K18" i="13"/>
  <c r="J18" i="13"/>
  <c r="H18" i="13"/>
  <c r="G18" i="13"/>
  <c r="F18" i="13"/>
  <c r="E18" i="13"/>
  <c r="D18" i="13"/>
  <c r="C18" i="13"/>
  <c r="M17" i="13"/>
  <c r="L17" i="13"/>
  <c r="K17" i="13"/>
  <c r="J17" i="13"/>
  <c r="H17" i="13"/>
  <c r="G17" i="13"/>
  <c r="F17" i="13"/>
  <c r="E17" i="13"/>
  <c r="D17" i="13"/>
  <c r="C17" i="13"/>
  <c r="M16" i="13"/>
  <c r="L16" i="13"/>
  <c r="K16" i="13"/>
  <c r="J16" i="13"/>
  <c r="H16" i="13"/>
  <c r="G16" i="13"/>
  <c r="F16" i="13"/>
  <c r="E16" i="13"/>
  <c r="D16" i="13"/>
  <c r="C16" i="13"/>
  <c r="M15" i="13"/>
  <c r="L15" i="13"/>
  <c r="K15" i="13"/>
  <c r="J15" i="13"/>
  <c r="H15" i="13"/>
  <c r="G15" i="13"/>
  <c r="F15" i="13"/>
  <c r="E15" i="13"/>
  <c r="D15" i="13"/>
  <c r="C15" i="13"/>
  <c r="M14" i="13"/>
  <c r="L14" i="13"/>
  <c r="K14" i="13"/>
  <c r="J14" i="13"/>
  <c r="H14" i="13"/>
  <c r="G14" i="13"/>
  <c r="F14" i="13"/>
  <c r="E14" i="13"/>
  <c r="D14" i="13"/>
  <c r="C14" i="13"/>
  <c r="M13" i="13"/>
  <c r="L13" i="13"/>
  <c r="K13" i="13"/>
  <c r="J13" i="13"/>
  <c r="H13" i="13"/>
  <c r="G13" i="13"/>
  <c r="F13" i="13"/>
  <c r="E13" i="13"/>
  <c r="D13" i="13"/>
  <c r="C13" i="13"/>
  <c r="M12" i="13"/>
  <c r="L12" i="13"/>
  <c r="K12" i="13"/>
  <c r="J12" i="13"/>
  <c r="H12" i="13"/>
  <c r="G12" i="13"/>
  <c r="F12" i="13"/>
  <c r="E12" i="13"/>
  <c r="D12" i="13"/>
  <c r="C12" i="13"/>
  <c r="M55" i="12"/>
  <c r="L55" i="12"/>
  <c r="K55" i="12"/>
  <c r="J55" i="12"/>
  <c r="C55" i="12"/>
  <c r="M54" i="12"/>
  <c r="L54" i="12"/>
  <c r="K54" i="12"/>
  <c r="J54" i="12"/>
  <c r="C54" i="12"/>
  <c r="M52" i="12"/>
  <c r="L52" i="12"/>
  <c r="K52" i="12"/>
  <c r="J52" i="12"/>
  <c r="C52" i="12"/>
  <c r="M51" i="12"/>
  <c r="L51" i="12"/>
  <c r="K51" i="12"/>
  <c r="J51" i="12"/>
  <c r="C51" i="12"/>
  <c r="M50" i="12"/>
  <c r="L50" i="12"/>
  <c r="K50" i="12"/>
  <c r="J50" i="12"/>
  <c r="C50" i="12"/>
  <c r="M49" i="12"/>
  <c r="L49" i="12"/>
  <c r="K49" i="12"/>
  <c r="J49" i="12"/>
  <c r="C49" i="12"/>
  <c r="M48" i="12"/>
  <c r="L48" i="12"/>
  <c r="K48" i="12"/>
  <c r="J48" i="12"/>
  <c r="C48" i="12"/>
  <c r="M47" i="12"/>
  <c r="L47" i="12"/>
  <c r="K47" i="12"/>
  <c r="J47" i="12"/>
  <c r="C47" i="12"/>
  <c r="M46" i="12"/>
  <c r="L46" i="12"/>
  <c r="K46" i="12"/>
  <c r="J46" i="12"/>
  <c r="C46" i="12"/>
  <c r="M44" i="12"/>
  <c r="L44" i="12"/>
  <c r="K44" i="12"/>
  <c r="J44" i="12"/>
  <c r="C44" i="12"/>
  <c r="M43" i="12"/>
  <c r="L43" i="12"/>
  <c r="K43" i="12"/>
  <c r="J43" i="12"/>
  <c r="C43" i="12"/>
  <c r="M42" i="12"/>
  <c r="L42" i="12"/>
  <c r="K42" i="12"/>
  <c r="J42" i="12"/>
  <c r="C42" i="12"/>
  <c r="M41" i="12"/>
  <c r="L41" i="12"/>
  <c r="K41" i="12"/>
  <c r="J41" i="12"/>
  <c r="C41" i="12"/>
  <c r="M40" i="12"/>
  <c r="L40" i="12"/>
  <c r="K40" i="12"/>
  <c r="J40" i="12"/>
  <c r="C40" i="12"/>
  <c r="M39" i="12"/>
  <c r="L39" i="12"/>
  <c r="K39" i="12"/>
  <c r="J39" i="12"/>
  <c r="C39" i="12"/>
  <c r="M38" i="12"/>
  <c r="L38" i="12"/>
  <c r="K38" i="12"/>
  <c r="J38" i="12"/>
  <c r="C38" i="12"/>
  <c r="M36" i="12"/>
  <c r="L36" i="12"/>
  <c r="K36" i="12"/>
  <c r="J36" i="12"/>
  <c r="C36" i="12"/>
  <c r="M35" i="12"/>
  <c r="L35" i="12"/>
  <c r="K35" i="12"/>
  <c r="J35" i="12"/>
  <c r="C35" i="12"/>
  <c r="M27" i="12"/>
  <c r="L27" i="12"/>
  <c r="K27" i="12"/>
  <c r="J27" i="12"/>
  <c r="H27" i="12"/>
  <c r="G27" i="12"/>
  <c r="F27" i="12"/>
  <c r="E27" i="12"/>
  <c r="D27" i="12"/>
  <c r="C27" i="12"/>
  <c r="M26" i="12"/>
  <c r="L26" i="12"/>
  <c r="K26" i="12"/>
  <c r="J26" i="12"/>
  <c r="H26" i="12"/>
  <c r="G26" i="12"/>
  <c r="F26" i="12"/>
  <c r="E26" i="12"/>
  <c r="D26" i="12"/>
  <c r="C26" i="12"/>
  <c r="M25" i="12"/>
  <c r="L25" i="12"/>
  <c r="K25" i="12"/>
  <c r="J25" i="12"/>
  <c r="H25" i="12"/>
  <c r="G25" i="12"/>
  <c r="F25" i="12"/>
  <c r="E25" i="12"/>
  <c r="D25" i="12"/>
  <c r="C25" i="12"/>
  <c r="M24" i="12"/>
  <c r="L24" i="12"/>
  <c r="K24" i="12"/>
  <c r="J24" i="12"/>
  <c r="H24" i="12"/>
  <c r="G24" i="12"/>
  <c r="F24" i="12"/>
  <c r="E24" i="12"/>
  <c r="D24" i="12"/>
  <c r="C24" i="12"/>
  <c r="M23" i="12"/>
  <c r="L23" i="12"/>
  <c r="K23" i="12"/>
  <c r="J23" i="12"/>
  <c r="H23" i="12"/>
  <c r="G23" i="12"/>
  <c r="F23" i="12"/>
  <c r="E23" i="12"/>
  <c r="D23" i="12"/>
  <c r="C23" i="12"/>
  <c r="M22" i="12"/>
  <c r="L22" i="12"/>
  <c r="K22" i="12"/>
  <c r="J22" i="12"/>
  <c r="H22" i="12"/>
  <c r="G22" i="12"/>
  <c r="F22" i="12"/>
  <c r="E22" i="12"/>
  <c r="D22" i="12"/>
  <c r="C22" i="12"/>
  <c r="M21" i="12"/>
  <c r="L21" i="12"/>
  <c r="K21" i="12"/>
  <c r="J21" i="12"/>
  <c r="H21" i="12"/>
  <c r="G21" i="12"/>
  <c r="F21" i="12"/>
  <c r="E21" i="12"/>
  <c r="D21" i="12"/>
  <c r="C21" i="12"/>
  <c r="M20" i="12"/>
  <c r="L20" i="12"/>
  <c r="K20" i="12"/>
  <c r="J20" i="12"/>
  <c r="H20" i="12"/>
  <c r="G20" i="12"/>
  <c r="F20" i="12"/>
  <c r="E20" i="12"/>
  <c r="D20" i="12"/>
  <c r="C20" i="12"/>
  <c r="M19" i="12"/>
  <c r="L19" i="12"/>
  <c r="K19" i="12"/>
  <c r="J19" i="12"/>
  <c r="H19" i="12"/>
  <c r="G19" i="12"/>
  <c r="F19" i="12"/>
  <c r="E19" i="12"/>
  <c r="D19" i="12"/>
  <c r="C19" i="12"/>
  <c r="M18" i="12"/>
  <c r="L18" i="12"/>
  <c r="K18" i="12"/>
  <c r="J18" i="12"/>
  <c r="H18" i="12"/>
  <c r="G18" i="12"/>
  <c r="F18" i="12"/>
  <c r="E18" i="12"/>
  <c r="D18" i="12"/>
  <c r="C18" i="12"/>
  <c r="M17" i="12"/>
  <c r="L17" i="12"/>
  <c r="K17" i="12"/>
  <c r="J17" i="12"/>
  <c r="H17" i="12"/>
  <c r="G17" i="12"/>
  <c r="F17" i="12"/>
  <c r="E17" i="12"/>
  <c r="D17" i="12"/>
  <c r="C17" i="12"/>
  <c r="M16" i="12"/>
  <c r="L16" i="12"/>
  <c r="K16" i="12"/>
  <c r="J16" i="12"/>
  <c r="H16" i="12"/>
  <c r="G16" i="12"/>
  <c r="F16" i="12"/>
  <c r="E16" i="12"/>
  <c r="D16" i="12"/>
  <c r="C16" i="12"/>
  <c r="M15" i="12"/>
  <c r="L15" i="12"/>
  <c r="K15" i="12"/>
  <c r="J15" i="12"/>
  <c r="H15" i="12"/>
  <c r="G15" i="12"/>
  <c r="F15" i="12"/>
  <c r="E15" i="12"/>
  <c r="D15" i="12"/>
  <c r="C15" i="12"/>
  <c r="M14" i="12"/>
  <c r="L14" i="12"/>
  <c r="K14" i="12"/>
  <c r="J14" i="12"/>
  <c r="H14" i="12"/>
  <c r="G14" i="12"/>
  <c r="F14" i="12"/>
  <c r="E14" i="12"/>
  <c r="D14" i="12"/>
  <c r="C14" i="12"/>
  <c r="M13" i="12"/>
  <c r="L13" i="12"/>
  <c r="K13" i="12"/>
  <c r="J13" i="12"/>
  <c r="H13" i="12"/>
  <c r="G13" i="12"/>
  <c r="F13" i="12"/>
  <c r="E13" i="12"/>
  <c r="D13" i="12"/>
  <c r="C13" i="12"/>
  <c r="M12" i="12"/>
  <c r="L12" i="12"/>
  <c r="K12" i="12"/>
  <c r="J12" i="12"/>
  <c r="H12" i="12"/>
  <c r="G12" i="12"/>
  <c r="F12" i="12"/>
  <c r="E12" i="12"/>
  <c r="D12" i="12"/>
  <c r="C12" i="12"/>
  <c r="O33" i="11"/>
  <c r="N33" i="11"/>
  <c r="M33" i="11"/>
  <c r="L33" i="11"/>
  <c r="C33" i="11"/>
  <c r="O32" i="11"/>
  <c r="N32" i="11"/>
  <c r="M32" i="11"/>
  <c r="L32" i="11"/>
  <c r="C32" i="11"/>
  <c r="O31" i="11"/>
  <c r="N31" i="11"/>
  <c r="M31" i="11"/>
  <c r="L31" i="11"/>
  <c r="C31" i="11"/>
  <c r="O30" i="11"/>
  <c r="N30" i="11"/>
  <c r="M30" i="11"/>
  <c r="L30" i="11"/>
  <c r="C30" i="11"/>
  <c r="O26" i="11"/>
  <c r="N26" i="11"/>
  <c r="M26" i="11"/>
  <c r="L26" i="11"/>
  <c r="C26" i="11"/>
  <c r="O25" i="11"/>
  <c r="N25" i="11"/>
  <c r="M25" i="11"/>
  <c r="L25" i="11"/>
  <c r="C25" i="11"/>
  <c r="O24" i="11"/>
  <c r="N24" i="11"/>
  <c r="M24" i="11"/>
  <c r="L24" i="11"/>
  <c r="C24" i="11"/>
  <c r="O20" i="11"/>
  <c r="N20" i="11"/>
  <c r="M20" i="11"/>
  <c r="L20" i="11"/>
  <c r="I20" i="11"/>
  <c r="H20" i="11"/>
  <c r="G20" i="11"/>
  <c r="F20" i="11"/>
  <c r="E20" i="11"/>
  <c r="C20" i="11"/>
  <c r="O19" i="11"/>
  <c r="N19" i="11"/>
  <c r="M19" i="11"/>
  <c r="L19" i="11"/>
  <c r="I19" i="11"/>
  <c r="H19" i="11"/>
  <c r="G19" i="11"/>
  <c r="F19" i="11"/>
  <c r="E19" i="11"/>
  <c r="C19" i="11"/>
  <c r="O18" i="11"/>
  <c r="N18" i="11"/>
  <c r="M18" i="11"/>
  <c r="L18" i="11"/>
  <c r="I18" i="11"/>
  <c r="H18" i="11"/>
  <c r="G18" i="11"/>
  <c r="F18" i="11"/>
  <c r="E18" i="11"/>
  <c r="C18" i="11"/>
  <c r="O17" i="11"/>
  <c r="N17" i="11"/>
  <c r="M17" i="11"/>
  <c r="L17" i="11"/>
  <c r="I17" i="11"/>
  <c r="H17" i="11"/>
  <c r="G17" i="11"/>
  <c r="F17" i="11"/>
  <c r="E17" i="11"/>
  <c r="C17" i="11"/>
  <c r="O16" i="11"/>
  <c r="N16" i="11"/>
  <c r="M16" i="11"/>
  <c r="L16" i="11"/>
  <c r="I16" i="11"/>
  <c r="H16" i="11"/>
  <c r="G16" i="11"/>
  <c r="F16" i="11"/>
  <c r="E16" i="11"/>
  <c r="C16" i="11"/>
  <c r="O15" i="11"/>
  <c r="N15" i="11"/>
  <c r="M15" i="11"/>
  <c r="L15" i="11"/>
  <c r="I15" i="11"/>
  <c r="H15" i="11"/>
  <c r="G15" i="11"/>
  <c r="F15" i="11"/>
  <c r="E15" i="11"/>
  <c r="C15" i="11"/>
  <c r="O14" i="11"/>
  <c r="N14" i="11"/>
  <c r="M14" i="11"/>
  <c r="L14" i="11"/>
  <c r="I14" i="11"/>
  <c r="H14" i="11"/>
  <c r="G14" i="11"/>
  <c r="F14" i="11"/>
  <c r="E14" i="11"/>
  <c r="C14" i="11"/>
  <c r="O13" i="11"/>
  <c r="N13" i="11"/>
  <c r="M13" i="11"/>
  <c r="L13" i="11"/>
  <c r="I13" i="11"/>
  <c r="H13" i="11"/>
  <c r="G13" i="11"/>
  <c r="F13" i="11"/>
  <c r="E13" i="11"/>
  <c r="O12" i="11"/>
  <c r="N12" i="11"/>
  <c r="M12" i="11"/>
  <c r="L12" i="11"/>
  <c r="I12" i="11"/>
  <c r="H12" i="11"/>
  <c r="G12" i="11"/>
  <c r="F12" i="11"/>
  <c r="E12" i="11"/>
  <c r="N19" i="10"/>
  <c r="M19" i="10"/>
  <c r="L19" i="10"/>
  <c r="K19" i="10"/>
  <c r="I19" i="10"/>
  <c r="H19" i="10"/>
  <c r="G19" i="10"/>
  <c r="C19" i="10"/>
  <c r="N18" i="10"/>
  <c r="M18" i="10"/>
  <c r="L18" i="10"/>
  <c r="K18" i="10"/>
  <c r="I18" i="10"/>
  <c r="H18" i="10"/>
  <c r="G18" i="10"/>
  <c r="C18" i="10"/>
  <c r="N17" i="10"/>
  <c r="M17" i="10"/>
  <c r="L17" i="10"/>
  <c r="K17" i="10"/>
  <c r="I17" i="10"/>
  <c r="H17" i="10"/>
  <c r="G17" i="10"/>
  <c r="C17" i="10"/>
  <c r="N16" i="10"/>
  <c r="M16" i="10"/>
  <c r="L16" i="10"/>
  <c r="K16" i="10"/>
  <c r="I16" i="10"/>
  <c r="H16" i="10"/>
  <c r="G16" i="10"/>
  <c r="C16" i="10"/>
  <c r="N15" i="10"/>
  <c r="M15" i="10"/>
  <c r="L15" i="10"/>
  <c r="K15" i="10"/>
  <c r="I15" i="10"/>
  <c r="H15" i="10"/>
  <c r="G15" i="10"/>
  <c r="C15" i="10"/>
  <c r="N14" i="10"/>
  <c r="M14" i="10"/>
  <c r="L14" i="10"/>
  <c r="K14" i="10"/>
  <c r="I14" i="10"/>
  <c r="H14" i="10"/>
  <c r="G14" i="10"/>
  <c r="C14" i="10"/>
  <c r="N13" i="10"/>
  <c r="M13" i="10"/>
  <c r="L13" i="10"/>
  <c r="K13" i="10"/>
  <c r="I13" i="10"/>
  <c r="H13" i="10"/>
  <c r="G13" i="10"/>
  <c r="C13" i="10"/>
  <c r="R73" i="9"/>
  <c r="Q73" i="9"/>
  <c r="P73" i="9"/>
  <c r="O73" i="9"/>
  <c r="C73" i="9"/>
  <c r="R72" i="9"/>
  <c r="Q72" i="9"/>
  <c r="P72" i="9"/>
  <c r="O72" i="9"/>
  <c r="C72" i="9"/>
  <c r="R71" i="9"/>
  <c r="Q71" i="9"/>
  <c r="P71" i="9"/>
  <c r="O71" i="9"/>
  <c r="C71" i="9"/>
  <c r="R70" i="9"/>
  <c r="Q70" i="9"/>
  <c r="P70" i="9"/>
  <c r="O70" i="9"/>
  <c r="C70" i="9"/>
  <c r="R69" i="9"/>
  <c r="Q69" i="9"/>
  <c r="P69" i="9"/>
  <c r="O69" i="9"/>
  <c r="C69" i="9"/>
  <c r="R68" i="9"/>
  <c r="Q68" i="9"/>
  <c r="P68" i="9"/>
  <c r="O68" i="9"/>
  <c r="C68" i="9"/>
  <c r="R67" i="9"/>
  <c r="Q67" i="9"/>
  <c r="P67" i="9"/>
  <c r="O67" i="9"/>
  <c r="C67" i="9"/>
  <c r="R66" i="9"/>
  <c r="Q66" i="9"/>
  <c r="P66" i="9"/>
  <c r="O66" i="9"/>
  <c r="C66" i="9"/>
  <c r="R62" i="9"/>
  <c r="Q62" i="9"/>
  <c r="P62" i="9"/>
  <c r="O62" i="9"/>
  <c r="I62" i="9"/>
  <c r="H62" i="9"/>
  <c r="G62" i="9"/>
  <c r="F62" i="9"/>
  <c r="E62" i="9"/>
  <c r="C62" i="9"/>
  <c r="R61" i="9"/>
  <c r="Q61" i="9"/>
  <c r="P61" i="9"/>
  <c r="O61" i="9"/>
  <c r="I61" i="9"/>
  <c r="H61" i="9"/>
  <c r="G61" i="9"/>
  <c r="F61" i="9"/>
  <c r="E61" i="9"/>
  <c r="C61" i="9"/>
  <c r="R60" i="9"/>
  <c r="Q60" i="9"/>
  <c r="P60" i="9"/>
  <c r="O60" i="9"/>
  <c r="I60" i="9"/>
  <c r="H60" i="9"/>
  <c r="G60" i="9"/>
  <c r="F60" i="9"/>
  <c r="E60" i="9"/>
  <c r="C60" i="9"/>
  <c r="R59" i="9"/>
  <c r="Q59" i="9"/>
  <c r="P59" i="9"/>
  <c r="O59" i="9"/>
  <c r="I59" i="9"/>
  <c r="H59" i="9"/>
  <c r="G59" i="9"/>
  <c r="F59" i="9"/>
  <c r="E59" i="9"/>
  <c r="C59" i="9"/>
  <c r="R58" i="9"/>
  <c r="Q58" i="9"/>
  <c r="P58" i="9"/>
  <c r="O58" i="9"/>
  <c r="I58" i="9"/>
  <c r="H58" i="9"/>
  <c r="G58" i="9"/>
  <c r="F58" i="9"/>
  <c r="E58" i="9"/>
  <c r="C58" i="9"/>
  <c r="R57" i="9"/>
  <c r="Q57" i="9"/>
  <c r="P57" i="9"/>
  <c r="O57" i="9"/>
  <c r="I57" i="9"/>
  <c r="H57" i="9"/>
  <c r="G57" i="9"/>
  <c r="F57" i="9"/>
  <c r="E57" i="9"/>
  <c r="C57" i="9"/>
  <c r="R56" i="9"/>
  <c r="Q56" i="9"/>
  <c r="P56" i="9"/>
  <c r="O56" i="9"/>
  <c r="I56" i="9"/>
  <c r="H56" i="9"/>
  <c r="G56" i="9"/>
  <c r="F56" i="9"/>
  <c r="E56" i="9"/>
  <c r="C56" i="9"/>
  <c r="R55" i="9"/>
  <c r="Q55" i="9"/>
  <c r="P55" i="9"/>
  <c r="O55" i="9"/>
  <c r="I55" i="9"/>
  <c r="H55" i="9"/>
  <c r="G55" i="9"/>
  <c r="F55" i="9"/>
  <c r="E55" i="9"/>
  <c r="C55" i="9"/>
  <c r="R54" i="9"/>
  <c r="Q54" i="9"/>
  <c r="P54" i="9"/>
  <c r="O54" i="9"/>
  <c r="I54" i="9"/>
  <c r="H54" i="9"/>
  <c r="G54" i="9"/>
  <c r="F54" i="9"/>
  <c r="E54" i="9"/>
  <c r="C54" i="9"/>
  <c r="R53" i="9"/>
  <c r="Q53" i="9"/>
  <c r="P53" i="9"/>
  <c r="O53" i="9"/>
  <c r="I53" i="9"/>
  <c r="H53" i="9"/>
  <c r="G53" i="9"/>
  <c r="F53" i="9"/>
  <c r="E53" i="9"/>
  <c r="C53" i="9"/>
  <c r="R52" i="9"/>
  <c r="Q52" i="9"/>
  <c r="P52" i="9"/>
  <c r="O52" i="9"/>
  <c r="I52" i="9"/>
  <c r="H52" i="9"/>
  <c r="G52" i="9"/>
  <c r="F52" i="9"/>
  <c r="E52" i="9"/>
  <c r="C52" i="9"/>
  <c r="R51" i="9"/>
  <c r="Q51" i="9"/>
  <c r="P51" i="9"/>
  <c r="O51" i="9"/>
  <c r="I51" i="9"/>
  <c r="H51" i="9"/>
  <c r="G51" i="9"/>
  <c r="F51" i="9"/>
  <c r="E51" i="9"/>
  <c r="C51" i="9"/>
  <c r="R50" i="9"/>
  <c r="Q50" i="9"/>
  <c r="P50" i="9"/>
  <c r="O50" i="9"/>
  <c r="I50" i="9"/>
  <c r="H50" i="9"/>
  <c r="G50" i="9"/>
  <c r="F50" i="9"/>
  <c r="E50" i="9"/>
  <c r="C50" i="9"/>
  <c r="R49" i="9"/>
  <c r="Q49" i="9"/>
  <c r="P49" i="9"/>
  <c r="O49" i="9"/>
  <c r="I49" i="9"/>
  <c r="H49" i="9"/>
  <c r="G49" i="9"/>
  <c r="F49" i="9"/>
  <c r="E49" i="9"/>
  <c r="C49" i="9"/>
  <c r="R48" i="9"/>
  <c r="Q48" i="9"/>
  <c r="P48" i="9"/>
  <c r="O48" i="9"/>
  <c r="I48" i="9"/>
  <c r="H48" i="9"/>
  <c r="G48" i="9"/>
  <c r="F48" i="9"/>
  <c r="E48" i="9"/>
  <c r="C48" i="9"/>
  <c r="R47" i="9"/>
  <c r="Q47" i="9"/>
  <c r="P47" i="9"/>
  <c r="O47" i="9"/>
  <c r="I47" i="9"/>
  <c r="H47" i="9"/>
  <c r="G47" i="9"/>
  <c r="F47" i="9"/>
  <c r="E47" i="9"/>
  <c r="C47" i="9"/>
  <c r="R46" i="9"/>
  <c r="Q46" i="9"/>
  <c r="P46" i="9"/>
  <c r="O46" i="9"/>
  <c r="I46" i="9"/>
  <c r="H46" i="9"/>
  <c r="G46" i="9"/>
  <c r="F46" i="9"/>
  <c r="E46" i="9"/>
  <c r="C46" i="9"/>
  <c r="R45" i="9"/>
  <c r="Q45" i="9"/>
  <c r="P45" i="9"/>
  <c r="O45" i="9"/>
  <c r="I45" i="9"/>
  <c r="H45" i="9"/>
  <c r="G45" i="9"/>
  <c r="F45" i="9"/>
  <c r="E45" i="9"/>
  <c r="C45" i="9"/>
  <c r="R44" i="9"/>
  <c r="Q44" i="9"/>
  <c r="P44" i="9"/>
  <c r="O44" i="9"/>
  <c r="I44" i="9"/>
  <c r="H44" i="9"/>
  <c r="G44" i="9"/>
  <c r="F44" i="9"/>
  <c r="E44" i="9"/>
  <c r="C44" i="9"/>
  <c r="Z43" i="9"/>
  <c r="Y43" i="9"/>
  <c r="X43" i="9"/>
  <c r="W43" i="9"/>
  <c r="V43" i="9"/>
  <c r="U43" i="9"/>
  <c r="R43" i="9"/>
  <c r="Q43" i="9"/>
  <c r="P43" i="9"/>
  <c r="O43" i="9"/>
  <c r="I43" i="9"/>
  <c r="H43" i="9"/>
  <c r="G43" i="9"/>
  <c r="F43" i="9"/>
  <c r="E43" i="9"/>
  <c r="C43" i="9"/>
  <c r="Z42" i="9"/>
  <c r="Y42" i="9"/>
  <c r="X42" i="9"/>
  <c r="W42" i="9"/>
  <c r="V42" i="9"/>
  <c r="U42" i="9"/>
  <c r="R42" i="9"/>
  <c r="Q42" i="9"/>
  <c r="P42" i="9"/>
  <c r="O42" i="9"/>
  <c r="I42" i="9"/>
  <c r="H42" i="9"/>
  <c r="G42" i="9"/>
  <c r="F42" i="9"/>
  <c r="E42" i="9"/>
  <c r="C42" i="9"/>
  <c r="Z41" i="9"/>
  <c r="Y41" i="9"/>
  <c r="X41" i="9"/>
  <c r="W41" i="9"/>
  <c r="V41" i="9"/>
  <c r="U41" i="9"/>
  <c r="R41" i="9"/>
  <c r="Q41" i="9"/>
  <c r="P41" i="9"/>
  <c r="O41" i="9"/>
  <c r="I41" i="9"/>
  <c r="H41" i="9"/>
  <c r="G41" i="9"/>
  <c r="F41" i="9"/>
  <c r="E41" i="9"/>
  <c r="C41" i="9"/>
  <c r="Z40" i="9"/>
  <c r="Y40" i="9"/>
  <c r="X40" i="9"/>
  <c r="W40" i="9"/>
  <c r="V40" i="9"/>
  <c r="U40" i="9"/>
  <c r="R40" i="9"/>
  <c r="Q40" i="9"/>
  <c r="P40" i="9"/>
  <c r="O40" i="9"/>
  <c r="I40" i="9"/>
  <c r="H40" i="9"/>
  <c r="G40" i="9"/>
  <c r="F40" i="9"/>
  <c r="E40" i="9"/>
  <c r="C40" i="9"/>
  <c r="Z39" i="9"/>
  <c r="Y39" i="9"/>
  <c r="X39" i="9"/>
  <c r="W39" i="9"/>
  <c r="V39" i="9"/>
  <c r="U39" i="9"/>
  <c r="R39" i="9"/>
  <c r="Q39" i="9"/>
  <c r="P39" i="9"/>
  <c r="O39" i="9"/>
  <c r="I39" i="9"/>
  <c r="H39" i="9"/>
  <c r="G39" i="9"/>
  <c r="F39" i="9"/>
  <c r="E39" i="9"/>
  <c r="C39" i="9"/>
  <c r="Z38" i="9"/>
  <c r="Y38" i="9"/>
  <c r="X38" i="9"/>
  <c r="W38" i="9"/>
  <c r="V38" i="9"/>
  <c r="U38" i="9"/>
  <c r="R38" i="9"/>
  <c r="Q38" i="9"/>
  <c r="P38" i="9"/>
  <c r="O38" i="9"/>
  <c r="I38" i="9"/>
  <c r="H38" i="9"/>
  <c r="G38" i="9"/>
  <c r="F38" i="9"/>
  <c r="E38" i="9"/>
  <c r="C38" i="9"/>
  <c r="Z37" i="9"/>
  <c r="Y37" i="9"/>
  <c r="X37" i="9"/>
  <c r="W37" i="9"/>
  <c r="V37" i="9"/>
  <c r="U37" i="9"/>
  <c r="Z36" i="9"/>
  <c r="Y36" i="9"/>
  <c r="X36" i="9"/>
  <c r="W36" i="9"/>
  <c r="V36" i="9"/>
  <c r="U36" i="9"/>
  <c r="R36" i="9"/>
  <c r="Q36" i="9"/>
  <c r="P36" i="9"/>
  <c r="O36" i="9"/>
  <c r="I36" i="9"/>
  <c r="H36" i="9"/>
  <c r="G36" i="9"/>
  <c r="F36" i="9"/>
  <c r="E36" i="9"/>
  <c r="C36" i="9"/>
  <c r="Z35" i="9"/>
  <c r="Y35" i="9"/>
  <c r="X35" i="9"/>
  <c r="W35" i="9"/>
  <c r="V35" i="9"/>
  <c r="U35" i="9"/>
  <c r="R35" i="9"/>
  <c r="Q35" i="9"/>
  <c r="P35" i="9"/>
  <c r="O35" i="9"/>
  <c r="I35" i="9"/>
  <c r="H35" i="9"/>
  <c r="G35" i="9"/>
  <c r="F35" i="9"/>
  <c r="E35" i="9"/>
  <c r="C35" i="9"/>
  <c r="Z34" i="9"/>
  <c r="Y34" i="9"/>
  <c r="X34" i="9"/>
  <c r="W34" i="9"/>
  <c r="V34" i="9"/>
  <c r="U34" i="9"/>
  <c r="R34" i="9"/>
  <c r="Q34" i="9"/>
  <c r="P34" i="9"/>
  <c r="O34" i="9"/>
  <c r="I34" i="9"/>
  <c r="H34" i="9"/>
  <c r="G34" i="9"/>
  <c r="F34" i="9"/>
  <c r="E34" i="9"/>
  <c r="C34" i="9"/>
  <c r="Z33" i="9"/>
  <c r="Y33" i="9"/>
  <c r="X33" i="9"/>
  <c r="W33" i="9"/>
  <c r="V33" i="9"/>
  <c r="U33" i="9"/>
  <c r="R33" i="9"/>
  <c r="Q33" i="9"/>
  <c r="P33" i="9"/>
  <c r="O33" i="9"/>
  <c r="I33" i="9"/>
  <c r="H33" i="9"/>
  <c r="G33" i="9"/>
  <c r="F33" i="9"/>
  <c r="E33" i="9"/>
  <c r="C33" i="9"/>
  <c r="Z32" i="9"/>
  <c r="Y32" i="9"/>
  <c r="X32" i="9"/>
  <c r="W32" i="9"/>
  <c r="V32" i="9"/>
  <c r="U32" i="9"/>
  <c r="R32" i="9"/>
  <c r="Q32" i="9"/>
  <c r="P32" i="9"/>
  <c r="O32" i="9"/>
  <c r="I32" i="9"/>
  <c r="H32" i="9"/>
  <c r="G32" i="9"/>
  <c r="F32" i="9"/>
  <c r="E32" i="9"/>
  <c r="C32" i="9"/>
  <c r="Z31" i="9"/>
  <c r="Y31" i="9"/>
  <c r="X31" i="9"/>
  <c r="W31" i="9"/>
  <c r="V31" i="9"/>
  <c r="U31" i="9"/>
  <c r="R31" i="9"/>
  <c r="Q31" i="9"/>
  <c r="P31" i="9"/>
  <c r="O31" i="9"/>
  <c r="I31" i="9"/>
  <c r="H31" i="9"/>
  <c r="G31" i="9"/>
  <c r="F31" i="9"/>
  <c r="E31" i="9"/>
  <c r="C31" i="9"/>
  <c r="Z30" i="9"/>
  <c r="Y30" i="9"/>
  <c r="X30" i="9"/>
  <c r="W30" i="9"/>
  <c r="V30" i="9"/>
  <c r="U30" i="9"/>
  <c r="R30" i="9"/>
  <c r="Q30" i="9"/>
  <c r="P30" i="9"/>
  <c r="O30" i="9"/>
  <c r="I30" i="9"/>
  <c r="H30" i="9"/>
  <c r="G30" i="9"/>
  <c r="F30" i="9"/>
  <c r="E30" i="9"/>
  <c r="C30" i="9"/>
  <c r="Z29" i="9"/>
  <c r="Y29" i="9"/>
  <c r="X29" i="9"/>
  <c r="W29" i="9"/>
  <c r="V29" i="9"/>
  <c r="U29" i="9"/>
  <c r="R29" i="9"/>
  <c r="Q29" i="9"/>
  <c r="P29" i="9"/>
  <c r="O29" i="9"/>
  <c r="I29" i="9"/>
  <c r="H29" i="9"/>
  <c r="G29" i="9"/>
  <c r="F29" i="9"/>
  <c r="E29" i="9"/>
  <c r="C29" i="9"/>
  <c r="Z28" i="9"/>
  <c r="Y28" i="9"/>
  <c r="X28" i="9"/>
  <c r="W28" i="9"/>
  <c r="V28" i="9"/>
  <c r="U28" i="9"/>
  <c r="R28" i="9"/>
  <c r="Q28" i="9"/>
  <c r="P28" i="9"/>
  <c r="O28" i="9"/>
  <c r="I28" i="9"/>
  <c r="H28" i="9"/>
  <c r="G28" i="9"/>
  <c r="F28" i="9"/>
  <c r="E28" i="9"/>
  <c r="C28" i="9"/>
  <c r="Z27" i="9"/>
  <c r="Y27" i="9"/>
  <c r="X27" i="9"/>
  <c r="W27" i="9"/>
  <c r="V27" i="9"/>
  <c r="U27" i="9"/>
  <c r="R27" i="9"/>
  <c r="Q27" i="9"/>
  <c r="P27" i="9"/>
  <c r="O27" i="9"/>
  <c r="I27" i="9"/>
  <c r="H27" i="9"/>
  <c r="G27" i="9"/>
  <c r="F27" i="9"/>
  <c r="E27" i="9"/>
  <c r="C27" i="9"/>
  <c r="Z26" i="9"/>
  <c r="Y26" i="9"/>
  <c r="X26" i="9"/>
  <c r="W26" i="9"/>
  <c r="V26" i="9"/>
  <c r="U26" i="9"/>
  <c r="R26" i="9"/>
  <c r="Q26" i="9"/>
  <c r="P26" i="9"/>
  <c r="O26" i="9"/>
  <c r="I26" i="9"/>
  <c r="H26" i="9"/>
  <c r="G26" i="9"/>
  <c r="F26" i="9"/>
  <c r="E26" i="9"/>
  <c r="C26" i="9"/>
  <c r="Z25" i="9"/>
  <c r="Y25" i="9"/>
  <c r="X25" i="9"/>
  <c r="W25" i="9"/>
  <c r="V25" i="9"/>
  <c r="U25" i="9"/>
  <c r="R25" i="9"/>
  <c r="Q25" i="9"/>
  <c r="P25" i="9"/>
  <c r="O25" i="9"/>
  <c r="I25" i="9"/>
  <c r="H25" i="9"/>
  <c r="G25" i="9"/>
  <c r="F25" i="9"/>
  <c r="E25" i="9"/>
  <c r="C25" i="9"/>
  <c r="Z24" i="9"/>
  <c r="Y24" i="9"/>
  <c r="X24" i="9"/>
  <c r="W24" i="9"/>
  <c r="V24" i="9"/>
  <c r="U24" i="9"/>
  <c r="R24" i="9"/>
  <c r="Q24" i="9"/>
  <c r="P24" i="9"/>
  <c r="O24" i="9"/>
  <c r="I24" i="9"/>
  <c r="H24" i="9"/>
  <c r="G24" i="9"/>
  <c r="F24" i="9"/>
  <c r="E24" i="9"/>
  <c r="C24" i="9"/>
  <c r="Z23" i="9"/>
  <c r="Y23" i="9"/>
  <c r="X23" i="9"/>
  <c r="W23" i="9"/>
  <c r="V23" i="9"/>
  <c r="U23" i="9"/>
  <c r="R23" i="9"/>
  <c r="Q23" i="9"/>
  <c r="P23" i="9"/>
  <c r="O23" i="9"/>
  <c r="I23" i="9"/>
  <c r="H23" i="9"/>
  <c r="G23" i="9"/>
  <c r="F23" i="9"/>
  <c r="E23" i="9"/>
  <c r="C23" i="9"/>
  <c r="Z22" i="9"/>
  <c r="Y22" i="9"/>
  <c r="X22" i="9"/>
  <c r="W22" i="9"/>
  <c r="V22" i="9"/>
  <c r="U22" i="9"/>
  <c r="R22" i="9"/>
  <c r="Q22" i="9"/>
  <c r="P22" i="9"/>
  <c r="O22" i="9"/>
  <c r="I22" i="9"/>
  <c r="H22" i="9"/>
  <c r="G22" i="9"/>
  <c r="F22" i="9"/>
  <c r="E22" i="9"/>
  <c r="C22" i="9"/>
  <c r="Z21" i="9"/>
  <c r="Y21" i="9"/>
  <c r="X21" i="9"/>
  <c r="W21" i="9"/>
  <c r="V21" i="9"/>
  <c r="U21" i="9"/>
  <c r="R21" i="9"/>
  <c r="Q21" i="9"/>
  <c r="P21" i="9"/>
  <c r="O21" i="9"/>
  <c r="I21" i="9"/>
  <c r="H21" i="9"/>
  <c r="G21" i="9"/>
  <c r="F21" i="9"/>
  <c r="E21" i="9"/>
  <c r="C21" i="9"/>
  <c r="Z20" i="9"/>
  <c r="Y20" i="9"/>
  <c r="X20" i="9"/>
  <c r="W20" i="9"/>
  <c r="V20" i="9"/>
  <c r="U20" i="9"/>
  <c r="R20" i="9"/>
  <c r="Q20" i="9"/>
  <c r="P20" i="9"/>
  <c r="O20" i="9"/>
  <c r="I20" i="9"/>
  <c r="H20" i="9"/>
  <c r="G20" i="9"/>
  <c r="F20" i="9"/>
  <c r="E20" i="9"/>
  <c r="C20" i="9"/>
  <c r="Z19" i="9"/>
  <c r="Y19" i="9"/>
  <c r="X19" i="9"/>
  <c r="W19" i="9"/>
  <c r="V19" i="9"/>
  <c r="U19" i="9"/>
  <c r="R19" i="9"/>
  <c r="Q19" i="9"/>
  <c r="P19" i="9"/>
  <c r="O19" i="9"/>
  <c r="I19" i="9"/>
  <c r="H19" i="9"/>
  <c r="G19" i="9"/>
  <c r="F19" i="9"/>
  <c r="E19" i="9"/>
  <c r="C19" i="9"/>
  <c r="Z18" i="9"/>
  <c r="Y18" i="9"/>
  <c r="X18" i="9"/>
  <c r="W18" i="9"/>
  <c r="V18" i="9"/>
  <c r="U18" i="9"/>
  <c r="R18" i="9"/>
  <c r="Q18" i="9"/>
  <c r="P18" i="9"/>
  <c r="O18" i="9"/>
  <c r="I18" i="9"/>
  <c r="H18" i="9"/>
  <c r="G18" i="9"/>
  <c r="F18" i="9"/>
  <c r="E18" i="9"/>
  <c r="C18" i="9"/>
  <c r="Z17" i="9"/>
  <c r="Y17" i="9"/>
  <c r="X17" i="9"/>
  <c r="W17" i="9"/>
  <c r="V17" i="9"/>
  <c r="U17" i="9"/>
  <c r="R17" i="9"/>
  <c r="Q17" i="9"/>
  <c r="P17" i="9"/>
  <c r="O17" i="9"/>
  <c r="I17" i="9"/>
  <c r="H17" i="9"/>
  <c r="G17" i="9"/>
  <c r="F17" i="9"/>
  <c r="E17" i="9"/>
  <c r="C17" i="9"/>
  <c r="Z16" i="9"/>
  <c r="Y16" i="9"/>
  <c r="X16" i="9"/>
  <c r="W16" i="9"/>
  <c r="V16" i="9"/>
  <c r="U16" i="9"/>
  <c r="R16" i="9"/>
  <c r="Q16" i="9"/>
  <c r="P16" i="9"/>
  <c r="O16" i="9"/>
  <c r="I16" i="9"/>
  <c r="H16" i="9"/>
  <c r="G16" i="9"/>
  <c r="F16" i="9"/>
  <c r="E16" i="9"/>
  <c r="C16" i="9"/>
  <c r="Z15" i="9"/>
  <c r="Y15" i="9"/>
  <c r="X15" i="9"/>
  <c r="W15" i="9"/>
  <c r="V15" i="9"/>
  <c r="U15" i="9"/>
  <c r="R15" i="9"/>
  <c r="Q15" i="9"/>
  <c r="P15" i="9"/>
  <c r="O15" i="9"/>
  <c r="I15" i="9"/>
  <c r="H15" i="9"/>
  <c r="G15" i="9"/>
  <c r="F15" i="9"/>
  <c r="E15" i="9"/>
  <c r="C15" i="9"/>
  <c r="Z14" i="9"/>
  <c r="Y14" i="9"/>
  <c r="X14" i="9"/>
  <c r="W14" i="9"/>
  <c r="V14" i="9"/>
  <c r="U14" i="9"/>
  <c r="R14" i="9"/>
  <c r="Q14" i="9"/>
  <c r="P14" i="9"/>
  <c r="O14" i="9"/>
  <c r="I14" i="9"/>
  <c r="H14" i="9"/>
  <c r="G14" i="9"/>
  <c r="F14" i="9"/>
  <c r="E14" i="9"/>
  <c r="C14" i="9"/>
  <c r="Z13" i="9"/>
  <c r="Y13" i="9"/>
  <c r="X13" i="9"/>
  <c r="W13" i="9"/>
  <c r="V13" i="9"/>
  <c r="U13" i="9"/>
  <c r="R13" i="9"/>
  <c r="Q13" i="9"/>
  <c r="P13" i="9"/>
  <c r="O13" i="9"/>
  <c r="I13" i="9"/>
  <c r="H13" i="9"/>
  <c r="G13" i="9"/>
  <c r="F13" i="9"/>
  <c r="E13" i="9"/>
  <c r="C13" i="9"/>
  <c r="Z12" i="9"/>
  <c r="Y12" i="9"/>
  <c r="X12" i="9"/>
  <c r="W12" i="9"/>
  <c r="V12" i="9"/>
  <c r="U12" i="9"/>
  <c r="R12" i="9"/>
  <c r="Q12" i="9"/>
  <c r="P12" i="9"/>
  <c r="O12" i="9"/>
  <c r="I12" i="9"/>
  <c r="H12" i="9"/>
  <c r="G12" i="9"/>
  <c r="F12" i="9"/>
  <c r="E12" i="9"/>
  <c r="C12" i="9"/>
  <c r="L104" i="8"/>
  <c r="K104" i="8"/>
  <c r="J104" i="8"/>
  <c r="I104" i="8"/>
  <c r="C104" i="8"/>
  <c r="L103" i="8"/>
  <c r="K103" i="8"/>
  <c r="J103" i="8"/>
  <c r="I103" i="8"/>
  <c r="C103" i="8"/>
  <c r="L102" i="8"/>
  <c r="K102" i="8"/>
  <c r="J102" i="8"/>
  <c r="I102" i="8"/>
  <c r="C102" i="8"/>
  <c r="L101" i="8"/>
  <c r="K101" i="8"/>
  <c r="J101" i="8"/>
  <c r="I101" i="8"/>
  <c r="C101" i="8"/>
  <c r="L100" i="8"/>
  <c r="K100" i="8"/>
  <c r="J100" i="8"/>
  <c r="I100" i="8"/>
  <c r="C100" i="8"/>
  <c r="L99" i="8"/>
  <c r="K99" i="8"/>
  <c r="J99" i="8"/>
  <c r="I99" i="8"/>
  <c r="C99" i="8"/>
  <c r="L98" i="8"/>
  <c r="K98" i="8"/>
  <c r="J98" i="8"/>
  <c r="I98" i="8"/>
  <c r="C98" i="8"/>
  <c r="L97" i="8"/>
  <c r="K97" i="8"/>
  <c r="J97" i="8"/>
  <c r="I97" i="8"/>
  <c r="C97" i="8"/>
  <c r="L95" i="8"/>
  <c r="K95" i="8"/>
  <c r="J95" i="8"/>
  <c r="I95" i="8"/>
  <c r="C95" i="8"/>
  <c r="L94" i="8"/>
  <c r="K94" i="8"/>
  <c r="J94" i="8"/>
  <c r="I94" i="8"/>
  <c r="C94" i="8"/>
  <c r="L93" i="8"/>
  <c r="K93" i="8"/>
  <c r="J93" i="8"/>
  <c r="I93" i="8"/>
  <c r="C93" i="8"/>
  <c r="L92" i="8"/>
  <c r="K92" i="8"/>
  <c r="J92" i="8"/>
  <c r="I92" i="8"/>
  <c r="C92" i="8"/>
  <c r="L91" i="8"/>
  <c r="K91" i="8"/>
  <c r="J91" i="8"/>
  <c r="I91" i="8"/>
  <c r="C91" i="8"/>
  <c r="L89" i="8"/>
  <c r="K89" i="8"/>
  <c r="J89" i="8"/>
  <c r="I89" i="8"/>
  <c r="C89" i="8"/>
  <c r="L88" i="8"/>
  <c r="K88" i="8"/>
  <c r="J88" i="8"/>
  <c r="I88" i="8"/>
  <c r="C88" i="8"/>
  <c r="L87" i="8"/>
  <c r="K87" i="8"/>
  <c r="J87" i="8"/>
  <c r="I87" i="8"/>
  <c r="C87" i="8"/>
  <c r="L86" i="8"/>
  <c r="K86" i="8"/>
  <c r="J86" i="8"/>
  <c r="I86" i="8"/>
  <c r="C86" i="8"/>
  <c r="L85" i="8"/>
  <c r="K85" i="8"/>
  <c r="J85" i="8"/>
  <c r="I85" i="8"/>
  <c r="C85" i="8"/>
  <c r="L84" i="8"/>
  <c r="K84" i="8"/>
  <c r="J84" i="8"/>
  <c r="I84" i="8"/>
  <c r="C84" i="8"/>
  <c r="L82" i="8"/>
  <c r="K82" i="8"/>
  <c r="J82" i="8"/>
  <c r="I82" i="8"/>
  <c r="C82" i="8"/>
  <c r="L81" i="8"/>
  <c r="K81" i="8"/>
  <c r="J81" i="8"/>
  <c r="I81" i="8"/>
  <c r="C81" i="8"/>
  <c r="L80" i="8"/>
  <c r="K80" i="8"/>
  <c r="J80" i="8"/>
  <c r="I80" i="8"/>
  <c r="C80" i="8"/>
  <c r="L79" i="8"/>
  <c r="K79" i="8"/>
  <c r="J79" i="8"/>
  <c r="I79" i="8"/>
  <c r="C79" i="8"/>
  <c r="L78" i="8"/>
  <c r="K78" i="8"/>
  <c r="J78" i="8"/>
  <c r="I78" i="8"/>
  <c r="C78" i="8"/>
  <c r="L77" i="8"/>
  <c r="K77" i="8"/>
  <c r="J77" i="8"/>
  <c r="I77" i="8"/>
  <c r="C77" i="8"/>
  <c r="L76" i="8"/>
  <c r="K76" i="8"/>
  <c r="J76" i="8"/>
  <c r="I76" i="8"/>
  <c r="C76" i="8"/>
  <c r="L75" i="8"/>
  <c r="K75" i="8"/>
  <c r="J75" i="8"/>
  <c r="I75" i="8"/>
  <c r="C75" i="8"/>
  <c r="L74" i="8"/>
  <c r="K74" i="8"/>
  <c r="J74" i="8"/>
  <c r="I74" i="8"/>
  <c r="C74" i="8"/>
  <c r="L73" i="8"/>
  <c r="K73" i="8"/>
  <c r="J73" i="8"/>
  <c r="I73" i="8"/>
  <c r="C73" i="8"/>
  <c r="L72" i="8"/>
  <c r="K72" i="8"/>
  <c r="J72" i="8"/>
  <c r="I72" i="8"/>
  <c r="C72" i="8"/>
  <c r="L52" i="8"/>
  <c r="K52" i="8"/>
  <c r="J52" i="8"/>
  <c r="I52" i="8"/>
  <c r="F52" i="8"/>
  <c r="E52" i="8"/>
  <c r="D52" i="8"/>
  <c r="C52" i="8"/>
  <c r="L51" i="8"/>
  <c r="K51" i="8"/>
  <c r="J51" i="8"/>
  <c r="I51" i="8"/>
  <c r="F51" i="8"/>
  <c r="E51" i="8"/>
  <c r="D51" i="8"/>
  <c r="C51" i="8"/>
  <c r="L50" i="8"/>
  <c r="K50" i="8"/>
  <c r="J50" i="8"/>
  <c r="I50" i="8"/>
  <c r="F50" i="8"/>
  <c r="E50" i="8"/>
  <c r="D50" i="8"/>
  <c r="C50" i="8"/>
  <c r="L49" i="8"/>
  <c r="K49" i="8"/>
  <c r="J49" i="8"/>
  <c r="I49" i="8"/>
  <c r="F49" i="8"/>
  <c r="E49" i="8"/>
  <c r="D49" i="8"/>
  <c r="C49" i="8"/>
  <c r="L48" i="8"/>
  <c r="K48" i="8"/>
  <c r="J48" i="8"/>
  <c r="I48" i="8"/>
  <c r="F48" i="8"/>
  <c r="E48" i="8"/>
  <c r="D48" i="8"/>
  <c r="C48" i="8"/>
  <c r="L47" i="8"/>
  <c r="K47" i="8"/>
  <c r="J47" i="8"/>
  <c r="I47" i="8"/>
  <c r="F47" i="8"/>
  <c r="E47" i="8"/>
  <c r="D47" i="8"/>
  <c r="C47" i="8"/>
  <c r="L46" i="8"/>
  <c r="K46" i="8"/>
  <c r="J46" i="8"/>
  <c r="I46" i="8"/>
  <c r="F46" i="8"/>
  <c r="E46" i="8"/>
  <c r="D46" i="8"/>
  <c r="C46" i="8"/>
  <c r="L45" i="8"/>
  <c r="K45" i="8"/>
  <c r="J45" i="8"/>
  <c r="I45" i="8"/>
  <c r="F45" i="8"/>
  <c r="E45" i="8"/>
  <c r="D45" i="8"/>
  <c r="C45" i="8"/>
  <c r="L44" i="8"/>
  <c r="K44" i="8"/>
  <c r="J44" i="8"/>
  <c r="I44" i="8"/>
  <c r="F44" i="8"/>
  <c r="E44" i="8"/>
  <c r="D44" i="8"/>
  <c r="C44" i="8"/>
  <c r="L43" i="8"/>
  <c r="K43" i="8"/>
  <c r="J43" i="8"/>
  <c r="I43" i="8"/>
  <c r="F43" i="8"/>
  <c r="E43" i="8"/>
  <c r="D43" i="8"/>
  <c r="C43" i="8"/>
  <c r="L42" i="8"/>
  <c r="K42" i="8"/>
  <c r="J42" i="8"/>
  <c r="I42" i="8"/>
  <c r="F42" i="8"/>
  <c r="E42" i="8"/>
  <c r="D42" i="8"/>
  <c r="C42" i="8"/>
  <c r="L41" i="8"/>
  <c r="K41" i="8"/>
  <c r="J41" i="8"/>
  <c r="I41" i="8"/>
  <c r="F41" i="8"/>
  <c r="E41" i="8"/>
  <c r="D41" i="8"/>
  <c r="C41" i="8"/>
  <c r="L40" i="8"/>
  <c r="K40" i="8"/>
  <c r="J40" i="8"/>
  <c r="I40" i="8"/>
  <c r="F40" i="8"/>
  <c r="E40" i="8"/>
  <c r="D40" i="8"/>
  <c r="C40" i="8"/>
  <c r="L39" i="8"/>
  <c r="K39" i="8"/>
  <c r="J39" i="8"/>
  <c r="I39" i="8"/>
  <c r="F39" i="8"/>
  <c r="E39" i="8"/>
  <c r="D39" i="8"/>
  <c r="C39" i="8"/>
  <c r="L38" i="8"/>
  <c r="K38" i="8"/>
  <c r="J38" i="8"/>
  <c r="I38" i="8"/>
  <c r="F38" i="8"/>
  <c r="E38" i="8"/>
  <c r="D38" i="8"/>
  <c r="C38" i="8"/>
  <c r="L37" i="8"/>
  <c r="K37" i="8"/>
  <c r="J37" i="8"/>
  <c r="I37" i="8"/>
  <c r="F37" i="8"/>
  <c r="E37" i="8"/>
  <c r="D37" i="8"/>
  <c r="C37" i="8"/>
  <c r="L36" i="8"/>
  <c r="K36" i="8"/>
  <c r="J36" i="8"/>
  <c r="I36" i="8"/>
  <c r="F36" i="8"/>
  <c r="E36" i="8"/>
  <c r="D36" i="8"/>
  <c r="C36" i="8"/>
  <c r="L35" i="8"/>
  <c r="K35" i="8"/>
  <c r="J35" i="8"/>
  <c r="I35" i="8"/>
  <c r="F35" i="8"/>
  <c r="E35" i="8"/>
  <c r="D35" i="8"/>
  <c r="C35" i="8"/>
  <c r="L34" i="8"/>
  <c r="K34" i="8"/>
  <c r="J34" i="8"/>
  <c r="I34" i="8"/>
  <c r="F34" i="8"/>
  <c r="E34" i="8"/>
  <c r="D34" i="8"/>
  <c r="C34" i="8"/>
  <c r="L33" i="8"/>
  <c r="K33" i="8"/>
  <c r="J33" i="8"/>
  <c r="I33" i="8"/>
  <c r="H33" i="8"/>
  <c r="G33" i="8"/>
  <c r="F33" i="8"/>
  <c r="E33" i="8"/>
  <c r="D33" i="8"/>
  <c r="C33" i="8"/>
  <c r="L31" i="8"/>
  <c r="K31" i="8"/>
  <c r="J31" i="8"/>
  <c r="I31" i="8"/>
  <c r="H31" i="8"/>
  <c r="G31" i="8"/>
  <c r="F31" i="8"/>
  <c r="E31" i="8"/>
  <c r="D31" i="8"/>
  <c r="C31" i="8"/>
  <c r="L30" i="8"/>
  <c r="K30" i="8"/>
  <c r="J30" i="8"/>
  <c r="I30" i="8"/>
  <c r="H30" i="8"/>
  <c r="G30" i="8"/>
  <c r="F30" i="8"/>
  <c r="E30" i="8"/>
  <c r="D30" i="8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L27" i="8"/>
  <c r="K27" i="8"/>
  <c r="J27" i="8"/>
  <c r="I27" i="8"/>
  <c r="H27" i="8"/>
  <c r="G27" i="8"/>
  <c r="F27" i="8"/>
  <c r="E27" i="8"/>
  <c r="D27" i="8"/>
  <c r="C27" i="8"/>
  <c r="L26" i="8"/>
  <c r="K26" i="8"/>
  <c r="J26" i="8"/>
  <c r="I26" i="8"/>
  <c r="H26" i="8"/>
  <c r="G26" i="8"/>
  <c r="F26" i="8"/>
  <c r="E26" i="8"/>
  <c r="D26" i="8"/>
  <c r="C26" i="8"/>
  <c r="L25" i="8"/>
  <c r="K25" i="8"/>
  <c r="J25" i="8"/>
  <c r="I25" i="8"/>
  <c r="H25" i="8"/>
  <c r="G25" i="8"/>
  <c r="F25" i="8"/>
  <c r="E25" i="8"/>
  <c r="D25" i="8"/>
  <c r="C25" i="8"/>
  <c r="L24" i="8"/>
  <c r="K24" i="8"/>
  <c r="J24" i="8"/>
  <c r="I24" i="8"/>
  <c r="H24" i="8"/>
  <c r="G24" i="8"/>
  <c r="F24" i="8"/>
  <c r="E24" i="8"/>
  <c r="D24" i="8"/>
  <c r="C24" i="8"/>
  <c r="L23" i="8"/>
  <c r="K23" i="8"/>
  <c r="J23" i="8"/>
  <c r="I23" i="8"/>
  <c r="H23" i="8"/>
  <c r="G23" i="8"/>
  <c r="F23" i="8"/>
  <c r="E23" i="8"/>
  <c r="D23" i="8"/>
  <c r="C23" i="8"/>
  <c r="L22" i="8"/>
  <c r="K22" i="8"/>
  <c r="J22" i="8"/>
  <c r="I22" i="8"/>
  <c r="H22" i="8"/>
  <c r="G22" i="8"/>
  <c r="F22" i="8"/>
  <c r="E22" i="8"/>
  <c r="D22" i="8"/>
  <c r="C22" i="8"/>
  <c r="L21" i="8"/>
  <c r="K21" i="8"/>
  <c r="J21" i="8"/>
  <c r="I21" i="8"/>
  <c r="H21" i="8"/>
  <c r="G21" i="8"/>
  <c r="F21" i="8"/>
  <c r="E21" i="8"/>
  <c r="D21" i="8"/>
  <c r="C21" i="8"/>
  <c r="L20" i="8"/>
  <c r="K20" i="8"/>
  <c r="J20" i="8"/>
  <c r="I20" i="8"/>
  <c r="H20" i="8"/>
  <c r="G20" i="8"/>
  <c r="F20" i="8"/>
  <c r="E20" i="8"/>
  <c r="D20" i="8"/>
  <c r="C20" i="8"/>
  <c r="L19" i="8"/>
  <c r="K19" i="8"/>
  <c r="J19" i="8"/>
  <c r="I19" i="8"/>
  <c r="H19" i="8"/>
  <c r="G19" i="8"/>
  <c r="F19" i="8"/>
  <c r="E19" i="8"/>
  <c r="D19" i="8"/>
  <c r="C19" i="8"/>
  <c r="L18" i="8"/>
  <c r="K18" i="8"/>
  <c r="J18" i="8"/>
  <c r="I18" i="8"/>
  <c r="H18" i="8"/>
  <c r="G18" i="8"/>
  <c r="F18" i="8"/>
  <c r="E18" i="8"/>
  <c r="D18" i="8"/>
  <c r="C18" i="8"/>
  <c r="L17" i="8"/>
  <c r="K17" i="8"/>
  <c r="J17" i="8"/>
  <c r="I17" i="8"/>
  <c r="H17" i="8"/>
  <c r="G17" i="8"/>
  <c r="F17" i="8"/>
  <c r="E17" i="8"/>
  <c r="D17" i="8"/>
  <c r="C17" i="8"/>
  <c r="L16" i="8"/>
  <c r="K16" i="8"/>
  <c r="J16" i="8"/>
  <c r="I16" i="8"/>
  <c r="H16" i="8"/>
  <c r="G16" i="8"/>
  <c r="F16" i="8"/>
  <c r="E16" i="8"/>
  <c r="D16" i="8"/>
  <c r="C16" i="8"/>
  <c r="L15" i="8"/>
  <c r="K15" i="8"/>
  <c r="J15" i="8"/>
  <c r="I15" i="8"/>
  <c r="H15" i="8"/>
  <c r="G15" i="8"/>
  <c r="F15" i="8"/>
  <c r="E15" i="8"/>
  <c r="D15" i="8"/>
  <c r="C15" i="8"/>
  <c r="L14" i="8"/>
  <c r="K14" i="8"/>
  <c r="J14" i="8"/>
  <c r="I14" i="8"/>
  <c r="H14" i="8"/>
  <c r="G14" i="8"/>
  <c r="F14" i="8"/>
  <c r="E14" i="8"/>
  <c r="D14" i="8"/>
  <c r="C14" i="8"/>
  <c r="L13" i="8"/>
  <c r="K13" i="8"/>
  <c r="J13" i="8"/>
  <c r="I13" i="8"/>
  <c r="H13" i="8"/>
  <c r="G13" i="8"/>
  <c r="F13" i="8"/>
  <c r="E13" i="8"/>
  <c r="D13" i="8"/>
  <c r="C13" i="8"/>
  <c r="L12" i="8"/>
  <c r="K12" i="8"/>
  <c r="J12" i="8"/>
  <c r="I12" i="8"/>
  <c r="H12" i="8"/>
  <c r="G12" i="8"/>
  <c r="F12" i="8"/>
  <c r="E12" i="8"/>
  <c r="D12" i="8"/>
  <c r="C12" i="8"/>
  <c r="M64" i="7"/>
  <c r="L64" i="7"/>
  <c r="K64" i="7"/>
  <c r="J64" i="7"/>
  <c r="C64" i="7"/>
  <c r="M63" i="7"/>
  <c r="L63" i="7"/>
  <c r="K63" i="7"/>
  <c r="J63" i="7"/>
  <c r="C63" i="7"/>
  <c r="M62" i="7"/>
  <c r="L62" i="7"/>
  <c r="K62" i="7"/>
  <c r="J62" i="7"/>
  <c r="C62" i="7"/>
  <c r="M61" i="7"/>
  <c r="L61" i="7"/>
  <c r="K61" i="7"/>
  <c r="J61" i="7"/>
  <c r="C61" i="7"/>
  <c r="M60" i="7"/>
  <c r="L60" i="7"/>
  <c r="K60" i="7"/>
  <c r="J60" i="7"/>
  <c r="C60" i="7"/>
  <c r="M59" i="7"/>
  <c r="L59" i="7"/>
  <c r="K59" i="7"/>
  <c r="J59" i="7"/>
  <c r="C59" i="7"/>
  <c r="M58" i="7"/>
  <c r="L58" i="7"/>
  <c r="K58" i="7"/>
  <c r="J58" i="7"/>
  <c r="C58" i="7"/>
  <c r="M57" i="7"/>
  <c r="L57" i="7"/>
  <c r="K57" i="7"/>
  <c r="J57" i="7"/>
  <c r="C57" i="7"/>
  <c r="M52" i="7"/>
  <c r="L52" i="7"/>
  <c r="K52" i="7"/>
  <c r="J52" i="7"/>
  <c r="I52" i="7"/>
  <c r="H52" i="7"/>
  <c r="G52" i="7"/>
  <c r="F52" i="7"/>
  <c r="E52" i="7"/>
  <c r="C52" i="7"/>
  <c r="M51" i="7"/>
  <c r="L51" i="7"/>
  <c r="K51" i="7"/>
  <c r="J51" i="7"/>
  <c r="I51" i="7"/>
  <c r="H51" i="7"/>
  <c r="G51" i="7"/>
  <c r="F51" i="7"/>
  <c r="E51" i="7"/>
  <c r="C51" i="7"/>
  <c r="M50" i="7"/>
  <c r="L50" i="7"/>
  <c r="K50" i="7"/>
  <c r="J50" i="7"/>
  <c r="I50" i="7"/>
  <c r="H50" i="7"/>
  <c r="G50" i="7"/>
  <c r="F50" i="7"/>
  <c r="E50" i="7"/>
  <c r="C50" i="7"/>
  <c r="M49" i="7"/>
  <c r="L49" i="7"/>
  <c r="K49" i="7"/>
  <c r="J49" i="7"/>
  <c r="I49" i="7"/>
  <c r="H49" i="7"/>
  <c r="G49" i="7"/>
  <c r="F49" i="7"/>
  <c r="E49" i="7"/>
  <c r="C49" i="7"/>
  <c r="M48" i="7"/>
  <c r="L48" i="7"/>
  <c r="K48" i="7"/>
  <c r="J48" i="7"/>
  <c r="I48" i="7"/>
  <c r="H48" i="7"/>
  <c r="G48" i="7"/>
  <c r="F48" i="7"/>
  <c r="E48" i="7"/>
  <c r="C48" i="7"/>
  <c r="M47" i="7"/>
  <c r="L47" i="7"/>
  <c r="K47" i="7"/>
  <c r="J47" i="7"/>
  <c r="I47" i="7"/>
  <c r="H47" i="7"/>
  <c r="G47" i="7"/>
  <c r="F47" i="7"/>
  <c r="E47" i="7"/>
  <c r="C47" i="7"/>
  <c r="M46" i="7"/>
  <c r="L46" i="7"/>
  <c r="K46" i="7"/>
  <c r="J46" i="7"/>
  <c r="I46" i="7"/>
  <c r="H46" i="7"/>
  <c r="G46" i="7"/>
  <c r="F46" i="7"/>
  <c r="E46" i="7"/>
  <c r="C46" i="7"/>
  <c r="M45" i="7"/>
  <c r="L45" i="7"/>
  <c r="K45" i="7"/>
  <c r="J45" i="7"/>
  <c r="I45" i="7"/>
  <c r="H45" i="7"/>
  <c r="G45" i="7"/>
  <c r="F45" i="7"/>
  <c r="E45" i="7"/>
  <c r="C45" i="7"/>
  <c r="M44" i="7"/>
  <c r="L44" i="7"/>
  <c r="K44" i="7"/>
  <c r="J44" i="7"/>
  <c r="I44" i="7"/>
  <c r="H44" i="7"/>
  <c r="G44" i="7"/>
  <c r="F44" i="7"/>
  <c r="E44" i="7"/>
  <c r="C44" i="7"/>
  <c r="M43" i="7"/>
  <c r="L43" i="7"/>
  <c r="K43" i="7"/>
  <c r="J43" i="7"/>
  <c r="I43" i="7"/>
  <c r="H43" i="7"/>
  <c r="G43" i="7"/>
  <c r="F43" i="7"/>
  <c r="E43" i="7"/>
  <c r="C43" i="7"/>
  <c r="M42" i="7"/>
  <c r="L42" i="7"/>
  <c r="K42" i="7"/>
  <c r="J42" i="7"/>
  <c r="I42" i="7"/>
  <c r="H42" i="7"/>
  <c r="G42" i="7"/>
  <c r="F42" i="7"/>
  <c r="E42" i="7"/>
  <c r="C42" i="7"/>
  <c r="M41" i="7"/>
  <c r="L41" i="7"/>
  <c r="K41" i="7"/>
  <c r="J41" i="7"/>
  <c r="I41" i="7"/>
  <c r="H41" i="7"/>
  <c r="G41" i="7"/>
  <c r="F41" i="7"/>
  <c r="E41" i="7"/>
  <c r="C41" i="7"/>
  <c r="M40" i="7"/>
  <c r="L40" i="7"/>
  <c r="K40" i="7"/>
  <c r="J40" i="7"/>
  <c r="I40" i="7"/>
  <c r="H40" i="7"/>
  <c r="G40" i="7"/>
  <c r="F40" i="7"/>
  <c r="E40" i="7"/>
  <c r="C40" i="7"/>
  <c r="M39" i="7"/>
  <c r="L39" i="7"/>
  <c r="K39" i="7"/>
  <c r="J39" i="7"/>
  <c r="I39" i="7"/>
  <c r="H39" i="7"/>
  <c r="G39" i="7"/>
  <c r="F39" i="7"/>
  <c r="E39" i="7"/>
  <c r="C39" i="7"/>
  <c r="M38" i="7"/>
  <c r="L38" i="7"/>
  <c r="K38" i="7"/>
  <c r="J38" i="7"/>
  <c r="I38" i="7"/>
  <c r="H38" i="7"/>
  <c r="G38" i="7"/>
  <c r="F38" i="7"/>
  <c r="E38" i="7"/>
  <c r="C38" i="7"/>
  <c r="M37" i="7"/>
  <c r="L37" i="7"/>
  <c r="K37" i="7"/>
  <c r="J37" i="7"/>
  <c r="I37" i="7"/>
  <c r="H37" i="7"/>
  <c r="G37" i="7"/>
  <c r="F37" i="7"/>
  <c r="E37" i="7"/>
  <c r="C37" i="7"/>
  <c r="M36" i="7"/>
  <c r="L36" i="7"/>
  <c r="K36" i="7"/>
  <c r="J36" i="7"/>
  <c r="I36" i="7"/>
  <c r="H36" i="7"/>
  <c r="G36" i="7"/>
  <c r="F36" i="7"/>
  <c r="E36" i="7"/>
  <c r="C36" i="7"/>
  <c r="M35" i="7"/>
  <c r="L35" i="7"/>
  <c r="K35" i="7"/>
  <c r="J35" i="7"/>
  <c r="I35" i="7"/>
  <c r="H35" i="7"/>
  <c r="G35" i="7"/>
  <c r="F35" i="7"/>
  <c r="E35" i="7"/>
  <c r="C35" i="7"/>
  <c r="M34" i="7"/>
  <c r="L34" i="7"/>
  <c r="K34" i="7"/>
  <c r="J34" i="7"/>
  <c r="I34" i="7"/>
  <c r="H34" i="7"/>
  <c r="G34" i="7"/>
  <c r="F34" i="7"/>
  <c r="E34" i="7"/>
  <c r="C34" i="7"/>
  <c r="M33" i="7"/>
  <c r="L33" i="7"/>
  <c r="K33" i="7"/>
  <c r="J33" i="7"/>
  <c r="I33" i="7"/>
  <c r="H33" i="7"/>
  <c r="G33" i="7"/>
  <c r="F33" i="7"/>
  <c r="E33" i="7"/>
  <c r="C33" i="7"/>
  <c r="M31" i="7"/>
  <c r="L31" i="7"/>
  <c r="K31" i="7"/>
  <c r="J31" i="7"/>
  <c r="I31" i="7"/>
  <c r="H31" i="7"/>
  <c r="G31" i="7"/>
  <c r="F31" i="7"/>
  <c r="E31" i="7"/>
  <c r="C31" i="7"/>
  <c r="M30" i="7"/>
  <c r="L30" i="7"/>
  <c r="K30" i="7"/>
  <c r="J30" i="7"/>
  <c r="I30" i="7"/>
  <c r="H30" i="7"/>
  <c r="G30" i="7"/>
  <c r="F30" i="7"/>
  <c r="E30" i="7"/>
  <c r="C30" i="7"/>
  <c r="M29" i="7"/>
  <c r="L29" i="7"/>
  <c r="K29" i="7"/>
  <c r="J29" i="7"/>
  <c r="I29" i="7"/>
  <c r="H29" i="7"/>
  <c r="G29" i="7"/>
  <c r="F29" i="7"/>
  <c r="E29" i="7"/>
  <c r="C29" i="7"/>
  <c r="M28" i="7"/>
  <c r="L28" i="7"/>
  <c r="K28" i="7"/>
  <c r="J28" i="7"/>
  <c r="I28" i="7"/>
  <c r="H28" i="7"/>
  <c r="G28" i="7"/>
  <c r="F28" i="7"/>
  <c r="E28" i="7"/>
  <c r="C28" i="7"/>
  <c r="M27" i="7"/>
  <c r="L27" i="7"/>
  <c r="K27" i="7"/>
  <c r="J27" i="7"/>
  <c r="I27" i="7"/>
  <c r="H27" i="7"/>
  <c r="G27" i="7"/>
  <c r="F27" i="7"/>
  <c r="E27" i="7"/>
  <c r="C27" i="7"/>
  <c r="M26" i="7"/>
  <c r="L26" i="7"/>
  <c r="K26" i="7"/>
  <c r="J26" i="7"/>
  <c r="I26" i="7"/>
  <c r="H26" i="7"/>
  <c r="G26" i="7"/>
  <c r="F26" i="7"/>
  <c r="E26" i="7"/>
  <c r="C26" i="7"/>
  <c r="M25" i="7"/>
  <c r="L25" i="7"/>
  <c r="K25" i="7"/>
  <c r="J25" i="7"/>
  <c r="I25" i="7"/>
  <c r="H25" i="7"/>
  <c r="G25" i="7"/>
  <c r="F25" i="7"/>
  <c r="E25" i="7"/>
  <c r="C25" i="7"/>
  <c r="M24" i="7"/>
  <c r="L24" i="7"/>
  <c r="K24" i="7"/>
  <c r="J24" i="7"/>
  <c r="I24" i="7"/>
  <c r="H24" i="7"/>
  <c r="G24" i="7"/>
  <c r="F24" i="7"/>
  <c r="E24" i="7"/>
  <c r="C24" i="7"/>
  <c r="M23" i="7"/>
  <c r="L23" i="7"/>
  <c r="K23" i="7"/>
  <c r="J23" i="7"/>
  <c r="I23" i="7"/>
  <c r="H23" i="7"/>
  <c r="G23" i="7"/>
  <c r="F23" i="7"/>
  <c r="E23" i="7"/>
  <c r="C23" i="7"/>
  <c r="M22" i="7"/>
  <c r="L22" i="7"/>
  <c r="K22" i="7"/>
  <c r="J22" i="7"/>
  <c r="I22" i="7"/>
  <c r="H22" i="7"/>
  <c r="G22" i="7"/>
  <c r="F22" i="7"/>
  <c r="E22" i="7"/>
  <c r="C22" i="7"/>
  <c r="M21" i="7"/>
  <c r="L21" i="7"/>
  <c r="K21" i="7"/>
  <c r="J21" i="7"/>
  <c r="I21" i="7"/>
  <c r="H21" i="7"/>
  <c r="G21" i="7"/>
  <c r="F21" i="7"/>
  <c r="E21" i="7"/>
  <c r="C21" i="7"/>
  <c r="M20" i="7"/>
  <c r="L20" i="7"/>
  <c r="K20" i="7"/>
  <c r="J20" i="7"/>
  <c r="I20" i="7"/>
  <c r="H20" i="7"/>
  <c r="G20" i="7"/>
  <c r="F20" i="7"/>
  <c r="E20" i="7"/>
  <c r="C20" i="7"/>
  <c r="M19" i="7"/>
  <c r="L19" i="7"/>
  <c r="K19" i="7"/>
  <c r="J19" i="7"/>
  <c r="I19" i="7"/>
  <c r="H19" i="7"/>
  <c r="G19" i="7"/>
  <c r="F19" i="7"/>
  <c r="E19" i="7"/>
  <c r="C19" i="7"/>
  <c r="M18" i="7"/>
  <c r="L18" i="7"/>
  <c r="K18" i="7"/>
  <c r="J18" i="7"/>
  <c r="I18" i="7"/>
  <c r="H18" i="7"/>
  <c r="G18" i="7"/>
  <c r="F18" i="7"/>
  <c r="E18" i="7"/>
  <c r="C18" i="7"/>
  <c r="M17" i="7"/>
  <c r="L17" i="7"/>
  <c r="K17" i="7"/>
  <c r="J17" i="7"/>
  <c r="I17" i="7"/>
  <c r="H17" i="7"/>
  <c r="G17" i="7"/>
  <c r="F17" i="7"/>
  <c r="E17" i="7"/>
  <c r="C17" i="7"/>
  <c r="M16" i="7"/>
  <c r="L16" i="7"/>
  <c r="K16" i="7"/>
  <c r="J16" i="7"/>
  <c r="I16" i="7"/>
  <c r="H16" i="7"/>
  <c r="G16" i="7"/>
  <c r="F16" i="7"/>
  <c r="E16" i="7"/>
  <c r="C16" i="7"/>
  <c r="M15" i="7"/>
  <c r="L15" i="7"/>
  <c r="K15" i="7"/>
  <c r="J15" i="7"/>
  <c r="I15" i="7"/>
  <c r="H15" i="7"/>
  <c r="G15" i="7"/>
  <c r="F15" i="7"/>
  <c r="E15" i="7"/>
  <c r="C15" i="7"/>
  <c r="M14" i="7"/>
  <c r="L14" i="7"/>
  <c r="K14" i="7"/>
  <c r="J14" i="7"/>
  <c r="I14" i="7"/>
  <c r="H14" i="7"/>
  <c r="G14" i="7"/>
  <c r="F14" i="7"/>
  <c r="E14" i="7"/>
  <c r="C14" i="7"/>
  <c r="M13" i="7"/>
  <c r="L13" i="7"/>
  <c r="K13" i="7"/>
  <c r="J13" i="7"/>
  <c r="I13" i="7"/>
  <c r="H13" i="7"/>
  <c r="G13" i="7"/>
  <c r="F13" i="7"/>
  <c r="E13" i="7"/>
  <c r="C13" i="7"/>
  <c r="M12" i="7"/>
  <c r="L12" i="7"/>
  <c r="K12" i="7"/>
  <c r="J12" i="7"/>
  <c r="I12" i="7"/>
  <c r="H12" i="7"/>
  <c r="G12" i="7"/>
  <c r="F12" i="7"/>
  <c r="E12" i="7"/>
  <c r="C12" i="7"/>
  <c r="M67" i="6"/>
  <c r="L67" i="6"/>
  <c r="K67" i="6"/>
  <c r="J67" i="6"/>
  <c r="C67" i="6"/>
  <c r="M66" i="6"/>
  <c r="L66" i="6"/>
  <c r="K66" i="6"/>
  <c r="J66" i="6"/>
  <c r="C66" i="6"/>
  <c r="M65" i="6"/>
  <c r="L65" i="6"/>
  <c r="K65" i="6"/>
  <c r="J65" i="6"/>
  <c r="C65" i="6"/>
  <c r="M64" i="6"/>
  <c r="L64" i="6"/>
  <c r="K64" i="6"/>
  <c r="J64" i="6"/>
  <c r="C64" i="6"/>
  <c r="M63" i="6"/>
  <c r="L63" i="6"/>
  <c r="K63" i="6"/>
  <c r="J63" i="6"/>
  <c r="C63" i="6"/>
  <c r="M61" i="6"/>
  <c r="L61" i="6"/>
  <c r="K61" i="6"/>
  <c r="J61" i="6"/>
  <c r="C61" i="6"/>
  <c r="M60" i="6"/>
  <c r="L60" i="6"/>
  <c r="K60" i="6"/>
  <c r="J60" i="6"/>
  <c r="C60" i="6"/>
  <c r="M59" i="6"/>
  <c r="L59" i="6"/>
  <c r="K59" i="6"/>
  <c r="J59" i="6"/>
  <c r="C59" i="6"/>
  <c r="M58" i="6"/>
  <c r="L58" i="6"/>
  <c r="K58" i="6"/>
  <c r="J58" i="6"/>
  <c r="C58" i="6"/>
  <c r="M56" i="6"/>
  <c r="L56" i="6"/>
  <c r="K56" i="6"/>
  <c r="J56" i="6"/>
  <c r="C56" i="6"/>
  <c r="M55" i="6"/>
  <c r="L55" i="6"/>
  <c r="K55" i="6"/>
  <c r="J55" i="6"/>
  <c r="C55" i="6"/>
  <c r="M54" i="6"/>
  <c r="L54" i="6"/>
  <c r="K54" i="6"/>
  <c r="J54" i="6"/>
  <c r="C54" i="6"/>
  <c r="M53" i="6"/>
  <c r="L53" i="6"/>
  <c r="K53" i="6"/>
  <c r="J53" i="6"/>
  <c r="C53" i="6"/>
  <c r="M51" i="6"/>
  <c r="L51" i="6"/>
  <c r="K51" i="6"/>
  <c r="J51" i="6"/>
  <c r="C51" i="6"/>
  <c r="M50" i="6"/>
  <c r="L50" i="6"/>
  <c r="K50" i="6"/>
  <c r="J50" i="6"/>
  <c r="C50" i="6"/>
  <c r="M49" i="6"/>
  <c r="L49" i="6"/>
  <c r="K49" i="6"/>
  <c r="J49" i="6"/>
  <c r="C49" i="6"/>
  <c r="M48" i="6"/>
  <c r="L48" i="6"/>
  <c r="K48" i="6"/>
  <c r="J48" i="6"/>
  <c r="C48" i="6"/>
  <c r="M47" i="6"/>
  <c r="L47" i="6"/>
  <c r="K47" i="6"/>
  <c r="J47" i="6"/>
  <c r="C47" i="6"/>
  <c r="M28" i="6"/>
  <c r="L28" i="6"/>
  <c r="K28" i="6"/>
  <c r="J28" i="6"/>
  <c r="I28" i="6"/>
  <c r="H28" i="6"/>
  <c r="G28" i="6"/>
  <c r="F28" i="6"/>
  <c r="E28" i="6"/>
  <c r="C28" i="6"/>
  <c r="M27" i="6"/>
  <c r="L27" i="6"/>
  <c r="K27" i="6"/>
  <c r="J27" i="6"/>
  <c r="I27" i="6"/>
  <c r="H27" i="6"/>
  <c r="G27" i="6"/>
  <c r="F27" i="6"/>
  <c r="E27" i="6"/>
  <c r="C27" i="6"/>
  <c r="M26" i="6"/>
  <c r="L26" i="6"/>
  <c r="K26" i="6"/>
  <c r="J26" i="6"/>
  <c r="I26" i="6"/>
  <c r="H26" i="6"/>
  <c r="G26" i="6"/>
  <c r="F26" i="6"/>
  <c r="E26" i="6"/>
  <c r="C26" i="6"/>
  <c r="M25" i="6"/>
  <c r="L25" i="6"/>
  <c r="K25" i="6"/>
  <c r="J25" i="6"/>
  <c r="I25" i="6"/>
  <c r="H25" i="6"/>
  <c r="G25" i="6"/>
  <c r="F25" i="6"/>
  <c r="E25" i="6"/>
  <c r="C25" i="6"/>
  <c r="M24" i="6"/>
  <c r="L24" i="6"/>
  <c r="K24" i="6"/>
  <c r="J24" i="6"/>
  <c r="I24" i="6"/>
  <c r="H24" i="6"/>
  <c r="G24" i="6"/>
  <c r="F24" i="6"/>
  <c r="E24" i="6"/>
  <c r="C24" i="6"/>
  <c r="M23" i="6"/>
  <c r="L23" i="6"/>
  <c r="K23" i="6"/>
  <c r="J23" i="6"/>
  <c r="I23" i="6"/>
  <c r="H23" i="6"/>
  <c r="G23" i="6"/>
  <c r="F23" i="6"/>
  <c r="E23" i="6"/>
  <c r="C23" i="6"/>
  <c r="M22" i="6"/>
  <c r="L22" i="6"/>
  <c r="K22" i="6"/>
  <c r="J22" i="6"/>
  <c r="I22" i="6"/>
  <c r="H22" i="6"/>
  <c r="G22" i="6"/>
  <c r="F22" i="6"/>
  <c r="E22" i="6"/>
  <c r="C22" i="6"/>
  <c r="M21" i="6"/>
  <c r="L21" i="6"/>
  <c r="K21" i="6"/>
  <c r="J21" i="6"/>
  <c r="I21" i="6"/>
  <c r="H21" i="6"/>
  <c r="G21" i="6"/>
  <c r="F21" i="6"/>
  <c r="E21" i="6"/>
  <c r="C21" i="6"/>
  <c r="M19" i="6"/>
  <c r="L19" i="6"/>
  <c r="K19" i="6"/>
  <c r="J19" i="6"/>
  <c r="I19" i="6"/>
  <c r="H19" i="6"/>
  <c r="G19" i="6"/>
  <c r="F19" i="6"/>
  <c r="E19" i="6"/>
  <c r="C19" i="6"/>
  <c r="M18" i="6"/>
  <c r="L18" i="6"/>
  <c r="K18" i="6"/>
  <c r="J18" i="6"/>
  <c r="I18" i="6"/>
  <c r="H18" i="6"/>
  <c r="G18" i="6"/>
  <c r="F18" i="6"/>
  <c r="E18" i="6"/>
  <c r="C18" i="6"/>
  <c r="M17" i="6"/>
  <c r="L17" i="6"/>
  <c r="K17" i="6"/>
  <c r="J17" i="6"/>
  <c r="I17" i="6"/>
  <c r="H17" i="6"/>
  <c r="G17" i="6"/>
  <c r="F17" i="6"/>
  <c r="E17" i="6"/>
  <c r="C17" i="6"/>
  <c r="M16" i="6"/>
  <c r="L16" i="6"/>
  <c r="K16" i="6"/>
  <c r="J16" i="6"/>
  <c r="I16" i="6"/>
  <c r="H16" i="6"/>
  <c r="G16" i="6"/>
  <c r="F16" i="6"/>
  <c r="E16" i="6"/>
  <c r="C16" i="6"/>
  <c r="M15" i="6"/>
  <c r="L15" i="6"/>
  <c r="K15" i="6"/>
  <c r="J15" i="6"/>
  <c r="I15" i="6"/>
  <c r="H15" i="6"/>
  <c r="G15" i="6"/>
  <c r="F15" i="6"/>
  <c r="E15" i="6"/>
  <c r="C15" i="6"/>
  <c r="M14" i="6"/>
  <c r="L14" i="6"/>
  <c r="K14" i="6"/>
  <c r="J14" i="6"/>
  <c r="I14" i="6"/>
  <c r="H14" i="6"/>
  <c r="G14" i="6"/>
  <c r="F14" i="6"/>
  <c r="E14" i="6"/>
  <c r="C14" i="6"/>
  <c r="M13" i="6"/>
  <c r="L13" i="6"/>
  <c r="K13" i="6"/>
  <c r="J13" i="6"/>
  <c r="I13" i="6"/>
  <c r="H13" i="6"/>
  <c r="G13" i="6"/>
  <c r="F13" i="6"/>
  <c r="E13" i="6"/>
  <c r="C13" i="6"/>
  <c r="M12" i="6"/>
  <c r="L12" i="6"/>
  <c r="K12" i="6"/>
  <c r="J12" i="6"/>
  <c r="I12" i="6"/>
  <c r="H12" i="6"/>
  <c r="G12" i="6"/>
  <c r="F12" i="6"/>
  <c r="E12" i="6"/>
  <c r="C12" i="6"/>
  <c r="M13" i="5"/>
  <c r="L13" i="5"/>
  <c r="K13" i="5"/>
  <c r="J13" i="5"/>
  <c r="I13" i="5"/>
  <c r="H13" i="5"/>
  <c r="G13" i="5"/>
  <c r="F13" i="5"/>
  <c r="E13" i="5"/>
  <c r="D13" i="5"/>
  <c r="C13" i="5"/>
  <c r="M12" i="5"/>
  <c r="L12" i="5"/>
  <c r="K12" i="5"/>
  <c r="J12" i="5"/>
  <c r="I12" i="5"/>
  <c r="H12" i="5"/>
  <c r="G12" i="5"/>
  <c r="F12" i="5"/>
  <c r="E12" i="5"/>
  <c r="D12" i="5"/>
  <c r="C12" i="5"/>
  <c r="M123" i="4"/>
  <c r="L123" i="4"/>
  <c r="K123" i="4"/>
  <c r="J123" i="4"/>
  <c r="C123" i="4"/>
  <c r="M122" i="4"/>
  <c r="L122" i="4"/>
  <c r="K122" i="4"/>
  <c r="J122" i="4"/>
  <c r="C122" i="4"/>
  <c r="M121" i="4"/>
  <c r="L121" i="4"/>
  <c r="K121" i="4"/>
  <c r="J121" i="4"/>
  <c r="C121" i="4"/>
  <c r="M120" i="4"/>
  <c r="L120" i="4"/>
  <c r="K120" i="4"/>
  <c r="J120" i="4"/>
  <c r="C120" i="4"/>
  <c r="M119" i="4"/>
  <c r="L119" i="4"/>
  <c r="K119" i="4"/>
  <c r="J119" i="4"/>
  <c r="C119" i="4"/>
  <c r="M118" i="4"/>
  <c r="L118" i="4"/>
  <c r="K118" i="4"/>
  <c r="J118" i="4"/>
  <c r="C118" i="4"/>
  <c r="M117" i="4"/>
  <c r="L117" i="4"/>
  <c r="K117" i="4"/>
  <c r="J117" i="4"/>
  <c r="C117" i="4"/>
  <c r="M116" i="4"/>
  <c r="L116" i="4"/>
  <c r="K116" i="4"/>
  <c r="J116" i="4"/>
  <c r="C116" i="4"/>
  <c r="M115" i="4"/>
  <c r="L115" i="4"/>
  <c r="K115" i="4"/>
  <c r="J115" i="4"/>
  <c r="C115" i="4"/>
  <c r="M114" i="4"/>
  <c r="L114" i="4"/>
  <c r="K114" i="4"/>
  <c r="J114" i="4"/>
  <c r="C114" i="4"/>
  <c r="L113" i="4"/>
  <c r="M112" i="4"/>
  <c r="L112" i="4"/>
  <c r="K112" i="4"/>
  <c r="J112" i="4"/>
  <c r="C112" i="4"/>
  <c r="M111" i="4"/>
  <c r="L111" i="4"/>
  <c r="K111" i="4"/>
  <c r="J111" i="4"/>
  <c r="C111" i="4"/>
  <c r="M110" i="4"/>
  <c r="L110" i="4"/>
  <c r="K110" i="4"/>
  <c r="J110" i="4"/>
  <c r="C110" i="4"/>
  <c r="M109" i="4"/>
  <c r="L109" i="4"/>
  <c r="K109" i="4"/>
  <c r="J109" i="4"/>
  <c r="C109" i="4"/>
  <c r="M108" i="4"/>
  <c r="L108" i="4"/>
  <c r="K108" i="4"/>
  <c r="J108" i="4"/>
  <c r="C108" i="4"/>
  <c r="M107" i="4"/>
  <c r="L107" i="4"/>
  <c r="K107" i="4"/>
  <c r="J107" i="4"/>
  <c r="C107" i="4"/>
  <c r="M105" i="4"/>
  <c r="L105" i="4"/>
  <c r="K105" i="4"/>
  <c r="J105" i="4"/>
  <c r="C105" i="4"/>
  <c r="M104" i="4"/>
  <c r="L104" i="4"/>
  <c r="K104" i="4"/>
  <c r="J104" i="4"/>
  <c r="C104" i="4"/>
  <c r="M103" i="4"/>
  <c r="L103" i="4"/>
  <c r="K103" i="4"/>
  <c r="J103" i="4"/>
  <c r="C103" i="4"/>
  <c r="M102" i="4"/>
  <c r="L102" i="4"/>
  <c r="K102" i="4"/>
  <c r="J102" i="4"/>
  <c r="C102" i="4"/>
  <c r="M101" i="4"/>
  <c r="L101" i="4"/>
  <c r="K101" i="4"/>
  <c r="J101" i="4"/>
  <c r="C101" i="4"/>
  <c r="M100" i="4"/>
  <c r="L100" i="4"/>
  <c r="K100" i="4"/>
  <c r="J100" i="4"/>
  <c r="C100" i="4"/>
  <c r="M99" i="4"/>
  <c r="L99" i="4"/>
  <c r="K99" i="4"/>
  <c r="J99" i="4"/>
  <c r="C99" i="4"/>
  <c r="M98" i="4"/>
  <c r="L98" i="4"/>
  <c r="K98" i="4"/>
  <c r="J98" i="4"/>
  <c r="C98" i="4"/>
  <c r="M97" i="4"/>
  <c r="L97" i="4"/>
  <c r="K97" i="4"/>
  <c r="J97" i="4"/>
  <c r="C97" i="4"/>
  <c r="M96" i="4"/>
  <c r="L96" i="4"/>
  <c r="K96" i="4"/>
  <c r="J96" i="4"/>
  <c r="C96" i="4"/>
  <c r="M95" i="4"/>
  <c r="L95" i="4"/>
  <c r="K95" i="4"/>
  <c r="J95" i="4"/>
  <c r="C95" i="4"/>
  <c r="M94" i="4"/>
  <c r="L94" i="4"/>
  <c r="K94" i="4"/>
  <c r="J94" i="4"/>
  <c r="C94" i="4"/>
  <c r="M92" i="4"/>
  <c r="L92" i="4"/>
  <c r="K92" i="4"/>
  <c r="J92" i="4"/>
  <c r="C92" i="4"/>
  <c r="M91" i="4"/>
  <c r="L91" i="4"/>
  <c r="K91" i="4"/>
  <c r="J91" i="4"/>
  <c r="C91" i="4"/>
  <c r="M90" i="4"/>
  <c r="L90" i="4"/>
  <c r="K90" i="4"/>
  <c r="J90" i="4"/>
  <c r="C90" i="4"/>
  <c r="M89" i="4"/>
  <c r="L89" i="4"/>
  <c r="K89" i="4"/>
  <c r="J89" i="4"/>
  <c r="C89" i="4"/>
  <c r="M88" i="4"/>
  <c r="L88" i="4"/>
  <c r="K88" i="4"/>
  <c r="J88" i="4"/>
  <c r="C88" i="4"/>
  <c r="M87" i="4"/>
  <c r="L87" i="4"/>
  <c r="K87" i="4"/>
  <c r="J87" i="4"/>
  <c r="C87" i="4"/>
  <c r="M85" i="4"/>
  <c r="L85" i="4"/>
  <c r="K85" i="4"/>
  <c r="J85" i="4"/>
  <c r="C85" i="4"/>
  <c r="M84" i="4"/>
  <c r="L84" i="4"/>
  <c r="K84" i="4"/>
  <c r="J84" i="4"/>
  <c r="C84" i="4"/>
  <c r="M83" i="4"/>
  <c r="L83" i="4"/>
  <c r="K83" i="4"/>
  <c r="J83" i="4"/>
  <c r="C83" i="4"/>
  <c r="M82" i="4"/>
  <c r="L82" i="4"/>
  <c r="K82" i="4"/>
  <c r="J82" i="4"/>
  <c r="C82" i="4"/>
  <c r="M81" i="4"/>
  <c r="L81" i="4"/>
  <c r="K81" i="4"/>
  <c r="J81" i="4"/>
  <c r="C81" i="4"/>
  <c r="M80" i="4"/>
  <c r="L80" i="4"/>
  <c r="K80" i="4"/>
  <c r="J80" i="4"/>
  <c r="C80" i="4"/>
  <c r="M79" i="4"/>
  <c r="L79" i="4"/>
  <c r="K79" i="4"/>
  <c r="J79" i="4"/>
  <c r="C79" i="4"/>
  <c r="M78" i="4"/>
  <c r="L78" i="4"/>
  <c r="K78" i="4"/>
  <c r="J78" i="4"/>
  <c r="C78" i="4"/>
  <c r="M77" i="4"/>
  <c r="L77" i="4"/>
  <c r="K77" i="4"/>
  <c r="J77" i="4"/>
  <c r="C77" i="4"/>
  <c r="M76" i="4"/>
  <c r="L76" i="4"/>
  <c r="K76" i="4"/>
  <c r="J76" i="4"/>
  <c r="C76" i="4"/>
  <c r="M75" i="4"/>
  <c r="L75" i="4"/>
  <c r="K75" i="4"/>
  <c r="J75" i="4"/>
  <c r="C75" i="4"/>
  <c r="M57" i="4"/>
  <c r="L57" i="4"/>
  <c r="K57" i="4"/>
  <c r="J57" i="4"/>
  <c r="I57" i="4"/>
  <c r="H57" i="4"/>
  <c r="G57" i="4"/>
  <c r="F57" i="4"/>
  <c r="E57" i="4"/>
  <c r="D57" i="4"/>
  <c r="C57" i="4"/>
  <c r="M56" i="4"/>
  <c r="L56" i="4"/>
  <c r="K56" i="4"/>
  <c r="J56" i="4"/>
  <c r="I56" i="4"/>
  <c r="H56" i="4"/>
  <c r="G56" i="4"/>
  <c r="F56" i="4"/>
  <c r="E56" i="4"/>
  <c r="D56" i="4"/>
  <c r="C56" i="4"/>
  <c r="M55" i="4"/>
  <c r="L55" i="4"/>
  <c r="K55" i="4"/>
  <c r="J55" i="4"/>
  <c r="I55" i="4"/>
  <c r="H55" i="4"/>
  <c r="G55" i="4"/>
  <c r="F55" i="4"/>
  <c r="E55" i="4"/>
  <c r="D55" i="4"/>
  <c r="C55" i="4"/>
  <c r="M54" i="4"/>
  <c r="L54" i="4"/>
  <c r="K54" i="4"/>
  <c r="J54" i="4"/>
  <c r="I54" i="4"/>
  <c r="H54" i="4"/>
  <c r="G54" i="4"/>
  <c r="F54" i="4"/>
  <c r="E54" i="4"/>
  <c r="D54" i="4"/>
  <c r="C54" i="4"/>
  <c r="M53" i="4"/>
  <c r="L53" i="4"/>
  <c r="K53" i="4"/>
  <c r="J53" i="4"/>
  <c r="I53" i="4"/>
  <c r="H53" i="4"/>
  <c r="G53" i="4"/>
  <c r="F53" i="4"/>
  <c r="E53" i="4"/>
  <c r="D53" i="4"/>
  <c r="C53" i="4"/>
  <c r="M52" i="4"/>
  <c r="L52" i="4"/>
  <c r="K52" i="4"/>
  <c r="J52" i="4"/>
  <c r="I52" i="4"/>
  <c r="H52" i="4"/>
  <c r="G52" i="4"/>
  <c r="F52" i="4"/>
  <c r="E52" i="4"/>
  <c r="D52" i="4"/>
  <c r="C52" i="4"/>
  <c r="M51" i="4"/>
  <c r="L51" i="4"/>
  <c r="K51" i="4"/>
  <c r="J51" i="4"/>
  <c r="I51" i="4"/>
  <c r="H51" i="4"/>
  <c r="G51" i="4"/>
  <c r="F51" i="4"/>
  <c r="E51" i="4"/>
  <c r="D51" i="4"/>
  <c r="C51" i="4"/>
  <c r="M50" i="4"/>
  <c r="L50" i="4"/>
  <c r="K50" i="4"/>
  <c r="J50" i="4"/>
  <c r="I50" i="4"/>
  <c r="H50" i="4"/>
  <c r="G50" i="4"/>
  <c r="F50" i="4"/>
  <c r="E50" i="4"/>
  <c r="D50" i="4"/>
  <c r="C50" i="4"/>
  <c r="M49" i="4"/>
  <c r="L49" i="4"/>
  <c r="K49" i="4"/>
  <c r="J49" i="4"/>
  <c r="I49" i="4"/>
  <c r="H49" i="4"/>
  <c r="G49" i="4"/>
  <c r="F49" i="4"/>
  <c r="E49" i="4"/>
  <c r="D49" i="4"/>
  <c r="C49" i="4"/>
  <c r="M48" i="4"/>
  <c r="L48" i="4"/>
  <c r="K48" i="4"/>
  <c r="J48" i="4"/>
  <c r="I48" i="4"/>
  <c r="H48" i="4"/>
  <c r="G48" i="4"/>
  <c r="F48" i="4"/>
  <c r="E48" i="4"/>
  <c r="D48" i="4"/>
  <c r="C48" i="4"/>
  <c r="M47" i="4"/>
  <c r="L47" i="4"/>
  <c r="K47" i="4"/>
  <c r="J47" i="4"/>
  <c r="I47" i="4"/>
  <c r="H47" i="4"/>
  <c r="G47" i="4"/>
  <c r="F47" i="4"/>
  <c r="E47" i="4"/>
  <c r="D47" i="4"/>
  <c r="C47" i="4"/>
  <c r="M46" i="4"/>
  <c r="L46" i="4"/>
  <c r="K46" i="4"/>
  <c r="J46" i="4"/>
  <c r="I46" i="4"/>
  <c r="H46" i="4"/>
  <c r="G46" i="4"/>
  <c r="F46" i="4"/>
  <c r="E46" i="4"/>
  <c r="D46" i="4"/>
  <c r="C46" i="4"/>
  <c r="M45" i="4"/>
  <c r="L45" i="4"/>
  <c r="K45" i="4"/>
  <c r="J45" i="4"/>
  <c r="I45" i="4"/>
  <c r="H45" i="4"/>
  <c r="G45" i="4"/>
  <c r="F45" i="4"/>
  <c r="E45" i="4"/>
  <c r="D45" i="4"/>
  <c r="C45" i="4"/>
  <c r="M44" i="4"/>
  <c r="L44" i="4"/>
  <c r="K44" i="4"/>
  <c r="J44" i="4"/>
  <c r="I44" i="4"/>
  <c r="H44" i="4"/>
  <c r="G44" i="4"/>
  <c r="F44" i="4"/>
  <c r="E44" i="4"/>
  <c r="D44" i="4"/>
  <c r="C44" i="4"/>
  <c r="M43" i="4"/>
  <c r="L43" i="4"/>
  <c r="K43" i="4"/>
  <c r="J43" i="4"/>
  <c r="I43" i="4"/>
  <c r="H43" i="4"/>
  <c r="G43" i="4"/>
  <c r="F43" i="4"/>
  <c r="E43" i="4"/>
  <c r="D43" i="4"/>
  <c r="C43" i="4"/>
  <c r="M42" i="4"/>
  <c r="L42" i="4"/>
  <c r="K42" i="4"/>
  <c r="J42" i="4"/>
  <c r="I42" i="4"/>
  <c r="H42" i="4"/>
  <c r="G42" i="4"/>
  <c r="F42" i="4"/>
  <c r="E42" i="4"/>
  <c r="D42" i="4"/>
  <c r="C42" i="4"/>
  <c r="M41" i="4"/>
  <c r="L41" i="4"/>
  <c r="K41" i="4"/>
  <c r="J41" i="4"/>
  <c r="I41" i="4"/>
  <c r="H41" i="4"/>
  <c r="G41" i="4"/>
  <c r="F41" i="4"/>
  <c r="E41" i="4"/>
  <c r="D41" i="4"/>
  <c r="C41" i="4"/>
  <c r="M40" i="4"/>
  <c r="L40" i="4"/>
  <c r="K40" i="4"/>
  <c r="J40" i="4"/>
  <c r="I40" i="4"/>
  <c r="H40" i="4"/>
  <c r="G40" i="4"/>
  <c r="F40" i="4"/>
  <c r="E40" i="4"/>
  <c r="D40" i="4"/>
  <c r="C40" i="4"/>
  <c r="M39" i="4"/>
  <c r="L39" i="4"/>
  <c r="K39" i="4"/>
  <c r="J39" i="4"/>
  <c r="I39" i="4"/>
  <c r="H39" i="4"/>
  <c r="G39" i="4"/>
  <c r="F39" i="4"/>
  <c r="E39" i="4"/>
  <c r="D39" i="4"/>
  <c r="C39" i="4"/>
  <c r="M38" i="4"/>
  <c r="L38" i="4"/>
  <c r="K38" i="4"/>
  <c r="J38" i="4"/>
  <c r="I38" i="4"/>
  <c r="H38" i="4"/>
  <c r="G38" i="4"/>
  <c r="F38" i="4"/>
  <c r="E38" i="4"/>
  <c r="D38" i="4"/>
  <c r="C38" i="4"/>
  <c r="M37" i="4"/>
  <c r="L37" i="4"/>
  <c r="K37" i="4"/>
  <c r="J37" i="4"/>
  <c r="I37" i="4"/>
  <c r="H37" i="4"/>
  <c r="G37" i="4"/>
  <c r="F37" i="4"/>
  <c r="E37" i="4"/>
  <c r="D37" i="4"/>
  <c r="C37" i="4"/>
  <c r="M36" i="4"/>
  <c r="L36" i="4"/>
  <c r="K36" i="4"/>
  <c r="J36" i="4"/>
  <c r="I36" i="4"/>
  <c r="H36" i="4"/>
  <c r="G36" i="4"/>
  <c r="F36" i="4"/>
  <c r="E36" i="4"/>
  <c r="D36" i="4"/>
  <c r="C36" i="4"/>
  <c r="M35" i="4"/>
  <c r="L35" i="4"/>
  <c r="K35" i="4"/>
  <c r="J35" i="4"/>
  <c r="I35" i="4"/>
  <c r="H35" i="4"/>
  <c r="G35" i="4"/>
  <c r="F35" i="4"/>
  <c r="E35" i="4"/>
  <c r="D35" i="4"/>
  <c r="C35" i="4"/>
  <c r="M34" i="4"/>
  <c r="L34" i="4"/>
  <c r="K34" i="4"/>
  <c r="J34" i="4"/>
  <c r="I34" i="4"/>
  <c r="H34" i="4"/>
  <c r="G34" i="4"/>
  <c r="F34" i="4"/>
  <c r="E34" i="4"/>
  <c r="D34" i="4"/>
  <c r="C34" i="4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M30" i="4"/>
  <c r="L30" i="4"/>
  <c r="K30" i="4"/>
  <c r="J30" i="4"/>
  <c r="I30" i="4"/>
  <c r="H30" i="4"/>
  <c r="G30" i="4"/>
  <c r="F30" i="4"/>
  <c r="E30" i="4"/>
  <c r="D30" i="4"/>
  <c r="C30" i="4"/>
  <c r="M29" i="4"/>
  <c r="L29" i="4"/>
  <c r="K29" i="4"/>
  <c r="J29" i="4"/>
  <c r="I29" i="4"/>
  <c r="H29" i="4"/>
  <c r="G29" i="4"/>
  <c r="F29" i="4"/>
  <c r="E29" i="4"/>
  <c r="D29" i="4"/>
  <c r="C29" i="4"/>
  <c r="M28" i="4"/>
  <c r="L28" i="4"/>
  <c r="K28" i="4"/>
  <c r="J28" i="4"/>
  <c r="I28" i="4"/>
  <c r="H28" i="4"/>
  <c r="G28" i="4"/>
  <c r="F28" i="4"/>
  <c r="E28" i="4"/>
  <c r="D28" i="4"/>
  <c r="C28" i="4"/>
  <c r="M27" i="4"/>
  <c r="L27" i="4"/>
  <c r="K27" i="4"/>
  <c r="J27" i="4"/>
  <c r="I27" i="4"/>
  <c r="H27" i="4"/>
  <c r="G27" i="4"/>
  <c r="F27" i="4"/>
  <c r="E27" i="4"/>
  <c r="D27" i="4"/>
  <c r="C27" i="4"/>
  <c r="M26" i="4"/>
  <c r="L26" i="4"/>
  <c r="K26" i="4"/>
  <c r="J26" i="4"/>
  <c r="I26" i="4"/>
  <c r="H26" i="4"/>
  <c r="G26" i="4"/>
  <c r="F26" i="4"/>
  <c r="E26" i="4"/>
  <c r="D26" i="4"/>
  <c r="C26" i="4"/>
  <c r="M25" i="4"/>
  <c r="L25" i="4"/>
  <c r="K25" i="4"/>
  <c r="J25" i="4"/>
  <c r="I25" i="4"/>
  <c r="H25" i="4"/>
  <c r="G25" i="4"/>
  <c r="F25" i="4"/>
  <c r="E25" i="4"/>
  <c r="D25" i="4"/>
  <c r="C25" i="4"/>
  <c r="M24" i="4"/>
  <c r="L24" i="4"/>
  <c r="K24" i="4"/>
  <c r="J24" i="4"/>
  <c r="I24" i="4"/>
  <c r="H24" i="4"/>
  <c r="G24" i="4"/>
  <c r="F24" i="4"/>
  <c r="E24" i="4"/>
  <c r="D24" i="4"/>
  <c r="C24" i="4"/>
  <c r="M23" i="4"/>
  <c r="L23" i="4"/>
  <c r="K23" i="4"/>
  <c r="J23" i="4"/>
  <c r="I23" i="4"/>
  <c r="H23" i="4"/>
  <c r="G23" i="4"/>
  <c r="F23" i="4"/>
  <c r="E23" i="4"/>
  <c r="D23" i="4"/>
  <c r="C23" i="4"/>
  <c r="M22" i="4"/>
  <c r="L22" i="4"/>
  <c r="K22" i="4"/>
  <c r="J22" i="4"/>
  <c r="I22" i="4"/>
  <c r="H22" i="4"/>
  <c r="G22" i="4"/>
  <c r="F22" i="4"/>
  <c r="E22" i="4"/>
  <c r="D22" i="4"/>
  <c r="C22" i="4"/>
  <c r="M21" i="4"/>
  <c r="L21" i="4"/>
  <c r="K21" i="4"/>
  <c r="J21" i="4"/>
  <c r="I21" i="4"/>
  <c r="H21" i="4"/>
  <c r="G21" i="4"/>
  <c r="F21" i="4"/>
  <c r="E21" i="4"/>
  <c r="D21" i="4"/>
  <c r="C21" i="4"/>
  <c r="M20" i="4"/>
  <c r="L20" i="4"/>
  <c r="K20" i="4"/>
  <c r="J20" i="4"/>
  <c r="I20" i="4"/>
  <c r="H20" i="4"/>
  <c r="G20" i="4"/>
  <c r="F20" i="4"/>
  <c r="E20" i="4"/>
  <c r="D20" i="4"/>
  <c r="C20" i="4"/>
  <c r="M19" i="4"/>
  <c r="L19" i="4"/>
  <c r="K19" i="4"/>
  <c r="J19" i="4"/>
  <c r="I19" i="4"/>
  <c r="H19" i="4"/>
  <c r="G19" i="4"/>
  <c r="F19" i="4"/>
  <c r="E19" i="4"/>
  <c r="D19" i="4"/>
  <c r="C19" i="4"/>
  <c r="M18" i="4"/>
  <c r="L18" i="4"/>
  <c r="K18" i="4"/>
  <c r="J18" i="4"/>
  <c r="I18" i="4"/>
  <c r="H18" i="4"/>
  <c r="G18" i="4"/>
  <c r="F18" i="4"/>
  <c r="E18" i="4"/>
  <c r="D18" i="4"/>
  <c r="C18" i="4"/>
  <c r="M17" i="4"/>
  <c r="L17" i="4"/>
  <c r="K17" i="4"/>
  <c r="J17" i="4"/>
  <c r="I17" i="4"/>
  <c r="H17" i="4"/>
  <c r="G17" i="4"/>
  <c r="F17" i="4"/>
  <c r="E17" i="4"/>
  <c r="D17" i="4"/>
  <c r="C17" i="4"/>
  <c r="M16" i="4"/>
  <c r="L16" i="4"/>
  <c r="K16" i="4"/>
  <c r="J16" i="4"/>
  <c r="I16" i="4"/>
  <c r="H16" i="4"/>
  <c r="G16" i="4"/>
  <c r="F16" i="4"/>
  <c r="E16" i="4"/>
  <c r="D16" i="4"/>
  <c r="C16" i="4"/>
  <c r="M15" i="4"/>
  <c r="L15" i="4"/>
  <c r="K15" i="4"/>
  <c r="J15" i="4"/>
  <c r="I15" i="4"/>
  <c r="H15" i="4"/>
  <c r="G15" i="4"/>
  <c r="F15" i="4"/>
  <c r="E15" i="4"/>
  <c r="D15" i="4"/>
  <c r="C15" i="4"/>
  <c r="M14" i="4"/>
  <c r="L14" i="4"/>
  <c r="K14" i="4"/>
  <c r="J14" i="4"/>
  <c r="I14" i="4"/>
  <c r="H14" i="4"/>
  <c r="G14" i="4"/>
  <c r="F14" i="4"/>
  <c r="E14" i="4"/>
  <c r="D14" i="4"/>
  <c r="C14" i="4"/>
  <c r="M13" i="4"/>
  <c r="L13" i="4"/>
  <c r="K13" i="4"/>
  <c r="J13" i="4"/>
  <c r="I13" i="4"/>
  <c r="H13" i="4"/>
  <c r="G13" i="4"/>
  <c r="F13" i="4"/>
  <c r="E13" i="4"/>
  <c r="D13" i="4"/>
  <c r="C13" i="4"/>
  <c r="M12" i="4"/>
  <c r="L12" i="4"/>
  <c r="K12" i="4"/>
  <c r="J12" i="4"/>
  <c r="I12" i="4"/>
  <c r="H12" i="4"/>
  <c r="G12" i="4"/>
  <c r="F12" i="4"/>
  <c r="E12" i="4"/>
  <c r="D12" i="4"/>
  <c r="C12" i="4"/>
  <c r="U35" i="3"/>
  <c r="T35" i="3"/>
  <c r="S35" i="3"/>
  <c r="R35" i="3"/>
  <c r="C35" i="3"/>
  <c r="U34" i="3"/>
  <c r="T34" i="3"/>
  <c r="S34" i="3"/>
  <c r="R34" i="3"/>
  <c r="C34" i="3"/>
  <c r="U33" i="3"/>
  <c r="T33" i="3"/>
  <c r="S33" i="3"/>
  <c r="R33" i="3"/>
  <c r="C33" i="3"/>
  <c r="U29" i="3"/>
  <c r="T29" i="3"/>
  <c r="S29" i="3"/>
  <c r="R29" i="3"/>
  <c r="O29" i="3"/>
  <c r="N29" i="3"/>
  <c r="M29" i="3"/>
  <c r="E29" i="3"/>
  <c r="D29" i="3"/>
  <c r="C29" i="3"/>
  <c r="U28" i="3"/>
  <c r="T28" i="3"/>
  <c r="S28" i="3"/>
  <c r="R28" i="3"/>
  <c r="O28" i="3"/>
  <c r="N28" i="3"/>
  <c r="M28" i="3"/>
  <c r="E28" i="3"/>
  <c r="D28" i="3"/>
  <c r="C28" i="3"/>
  <c r="U27" i="3"/>
  <c r="T27" i="3"/>
  <c r="S27" i="3"/>
  <c r="R27" i="3"/>
  <c r="O27" i="3"/>
  <c r="N27" i="3"/>
  <c r="M27" i="3"/>
  <c r="E27" i="3"/>
  <c r="D27" i="3"/>
  <c r="C27" i="3"/>
  <c r="U26" i="3"/>
  <c r="T26" i="3"/>
  <c r="S26" i="3"/>
  <c r="R26" i="3"/>
  <c r="O26" i="3"/>
  <c r="N26" i="3"/>
  <c r="M26" i="3"/>
  <c r="E26" i="3"/>
  <c r="D26" i="3"/>
  <c r="C26" i="3"/>
  <c r="U25" i="3"/>
  <c r="T25" i="3"/>
  <c r="S25" i="3"/>
  <c r="R25" i="3"/>
  <c r="O25" i="3"/>
  <c r="N25" i="3"/>
  <c r="M25" i="3"/>
  <c r="E25" i="3"/>
  <c r="D25" i="3"/>
  <c r="C25" i="3"/>
  <c r="U24" i="3"/>
  <c r="T24" i="3"/>
  <c r="S24" i="3"/>
  <c r="R24" i="3"/>
  <c r="O24" i="3"/>
  <c r="N24" i="3"/>
  <c r="M24" i="3"/>
  <c r="E24" i="3"/>
  <c r="D24" i="3"/>
  <c r="C24" i="3"/>
  <c r="U23" i="3"/>
  <c r="T23" i="3"/>
  <c r="S23" i="3"/>
  <c r="R23" i="3"/>
  <c r="O23" i="3"/>
  <c r="N23" i="3"/>
  <c r="M23" i="3"/>
  <c r="E23" i="3"/>
  <c r="D23" i="3"/>
  <c r="C23" i="3"/>
  <c r="U22" i="3"/>
  <c r="T22" i="3"/>
  <c r="S22" i="3"/>
  <c r="R22" i="3"/>
  <c r="O22" i="3"/>
  <c r="N22" i="3"/>
  <c r="M22" i="3"/>
  <c r="E22" i="3"/>
  <c r="D22" i="3"/>
  <c r="C22" i="3"/>
  <c r="U21" i="3"/>
  <c r="T21" i="3"/>
  <c r="S21" i="3"/>
  <c r="R21" i="3"/>
  <c r="O21" i="3"/>
  <c r="N21" i="3"/>
  <c r="M21" i="3"/>
  <c r="E21" i="3"/>
  <c r="D21" i="3"/>
  <c r="C21" i="3"/>
  <c r="U20" i="3"/>
  <c r="T20" i="3"/>
  <c r="S20" i="3"/>
  <c r="R20" i="3"/>
  <c r="O20" i="3"/>
  <c r="N20" i="3"/>
  <c r="M20" i="3"/>
  <c r="E20" i="3"/>
  <c r="D20" i="3"/>
  <c r="C20" i="3"/>
  <c r="U19" i="3"/>
  <c r="T19" i="3"/>
  <c r="S19" i="3"/>
  <c r="R19" i="3"/>
  <c r="O19" i="3"/>
  <c r="N19" i="3"/>
  <c r="M19" i="3"/>
  <c r="E19" i="3"/>
  <c r="D19" i="3"/>
  <c r="C19" i="3"/>
  <c r="U18" i="3"/>
  <c r="T18" i="3"/>
  <c r="S18" i="3"/>
  <c r="R18" i="3"/>
  <c r="O18" i="3"/>
  <c r="N18" i="3"/>
  <c r="M18" i="3"/>
  <c r="E18" i="3"/>
  <c r="D18" i="3"/>
  <c r="C18" i="3"/>
  <c r="U17" i="3"/>
  <c r="T17" i="3"/>
  <c r="S17" i="3"/>
  <c r="R17" i="3"/>
  <c r="O17" i="3"/>
  <c r="N17" i="3"/>
  <c r="M17" i="3"/>
  <c r="E17" i="3"/>
  <c r="D17" i="3"/>
  <c r="C17" i="3"/>
  <c r="U16" i="3"/>
  <c r="T16" i="3"/>
  <c r="S16" i="3"/>
  <c r="R16" i="3"/>
  <c r="O16" i="3"/>
  <c r="N16" i="3"/>
  <c r="M16" i="3"/>
  <c r="E16" i="3"/>
  <c r="D16" i="3"/>
  <c r="C16" i="3"/>
  <c r="U15" i="3"/>
  <c r="T15" i="3"/>
  <c r="S15" i="3"/>
  <c r="R15" i="3"/>
  <c r="O15" i="3"/>
  <c r="N15" i="3"/>
  <c r="M15" i="3"/>
  <c r="E15" i="3"/>
  <c r="D15" i="3"/>
  <c r="C15" i="3"/>
  <c r="U14" i="3"/>
  <c r="T14" i="3"/>
  <c r="S14" i="3"/>
  <c r="R14" i="3"/>
  <c r="O14" i="3"/>
  <c r="N14" i="3"/>
  <c r="M14" i="3"/>
  <c r="E14" i="3"/>
  <c r="D14" i="3"/>
  <c r="C14" i="3"/>
  <c r="U13" i="3"/>
  <c r="T13" i="3"/>
  <c r="S13" i="3"/>
  <c r="R13" i="3"/>
  <c r="O13" i="3"/>
  <c r="N13" i="3"/>
  <c r="M13" i="3"/>
  <c r="E13" i="3"/>
  <c r="D13" i="3"/>
  <c r="C13" i="3"/>
  <c r="P63" i="2"/>
  <c r="O63" i="2"/>
  <c r="N63" i="2"/>
  <c r="M63" i="2"/>
  <c r="L63" i="2"/>
  <c r="K63" i="2"/>
  <c r="G63" i="2"/>
  <c r="E63" i="2"/>
  <c r="D63" i="2"/>
  <c r="I63" i="2" s="1"/>
  <c r="J63" i="2" s="1"/>
  <c r="C63" i="2"/>
  <c r="P62" i="2"/>
  <c r="O62" i="2"/>
  <c r="N62" i="2"/>
  <c r="M62" i="2"/>
  <c r="L62" i="2"/>
  <c r="K62" i="2"/>
  <c r="G62" i="2"/>
  <c r="E62" i="2"/>
  <c r="D62" i="2"/>
  <c r="I62" i="2" s="1"/>
  <c r="J62" i="2" s="1"/>
  <c r="C62" i="2"/>
  <c r="P61" i="2"/>
  <c r="O61" i="2"/>
  <c r="N61" i="2"/>
  <c r="M61" i="2"/>
  <c r="L61" i="2"/>
  <c r="K61" i="2"/>
  <c r="I61" i="2"/>
  <c r="J61" i="2" s="1"/>
  <c r="H61" i="2"/>
  <c r="G61" i="2"/>
  <c r="E61" i="2"/>
  <c r="D61" i="2"/>
  <c r="C61" i="2"/>
  <c r="P60" i="2"/>
  <c r="O60" i="2"/>
  <c r="N60" i="2"/>
  <c r="M60" i="2"/>
  <c r="L60" i="2"/>
  <c r="K60" i="2"/>
  <c r="G60" i="2"/>
  <c r="E60" i="2"/>
  <c r="D60" i="2"/>
  <c r="I60" i="2" s="1"/>
  <c r="J60" i="2" s="1"/>
  <c r="C60" i="2"/>
  <c r="P59" i="2"/>
  <c r="O59" i="2"/>
  <c r="N59" i="2"/>
  <c r="M59" i="2"/>
  <c r="L59" i="2"/>
  <c r="K59" i="2"/>
  <c r="G59" i="2"/>
  <c r="E59" i="2"/>
  <c r="D59" i="2"/>
  <c r="I59" i="2" s="1"/>
  <c r="J59" i="2" s="1"/>
  <c r="C59" i="2"/>
  <c r="P58" i="2"/>
  <c r="O58" i="2"/>
  <c r="N58" i="2"/>
  <c r="M58" i="2"/>
  <c r="L58" i="2"/>
  <c r="K58" i="2"/>
  <c r="I58" i="2"/>
  <c r="J58" i="2" s="1"/>
  <c r="H58" i="2"/>
  <c r="G58" i="2"/>
  <c r="E58" i="2"/>
  <c r="D58" i="2"/>
  <c r="C58" i="2"/>
  <c r="P57" i="2"/>
  <c r="O57" i="2"/>
  <c r="N57" i="2"/>
  <c r="M57" i="2"/>
  <c r="L57" i="2"/>
  <c r="K57" i="2"/>
  <c r="G57" i="2"/>
  <c r="E57" i="2"/>
  <c r="D57" i="2"/>
  <c r="H57" i="2" s="1"/>
  <c r="C57" i="2"/>
  <c r="P56" i="2"/>
  <c r="O56" i="2"/>
  <c r="N56" i="2"/>
  <c r="M56" i="2"/>
  <c r="L56" i="2"/>
  <c r="K56" i="2"/>
  <c r="H56" i="2"/>
  <c r="G56" i="2"/>
  <c r="E56" i="2"/>
  <c r="D56" i="2"/>
  <c r="I56" i="2" s="1"/>
  <c r="J56" i="2" s="1"/>
  <c r="C56" i="2"/>
  <c r="P55" i="2"/>
  <c r="O55" i="2"/>
  <c r="N55" i="2"/>
  <c r="M55" i="2"/>
  <c r="L55" i="2"/>
  <c r="K55" i="2"/>
  <c r="G55" i="2"/>
  <c r="E55" i="2"/>
  <c r="D55" i="2"/>
  <c r="I55" i="2" s="1"/>
  <c r="J55" i="2" s="1"/>
  <c r="C55" i="2"/>
  <c r="P54" i="2"/>
  <c r="O54" i="2"/>
  <c r="N54" i="2"/>
  <c r="M54" i="2"/>
  <c r="L54" i="2"/>
  <c r="K54" i="2"/>
  <c r="I54" i="2"/>
  <c r="J54" i="2" s="1"/>
  <c r="G54" i="2"/>
  <c r="E54" i="2"/>
  <c r="D54" i="2"/>
  <c r="H54" i="2" s="1"/>
  <c r="C54" i="2"/>
  <c r="P53" i="2"/>
  <c r="O53" i="2"/>
  <c r="N53" i="2"/>
  <c r="M53" i="2"/>
  <c r="L53" i="2"/>
  <c r="K53" i="2"/>
  <c r="G53" i="2"/>
  <c r="E53" i="2"/>
  <c r="D53" i="2"/>
  <c r="I53" i="2" s="1"/>
  <c r="J53" i="2" s="1"/>
  <c r="C53" i="2"/>
  <c r="P52" i="2"/>
  <c r="O52" i="2"/>
  <c r="N52" i="2"/>
  <c r="M52" i="2"/>
  <c r="L52" i="2"/>
  <c r="K52" i="2"/>
  <c r="G52" i="2"/>
  <c r="E52" i="2"/>
  <c r="D52" i="2"/>
  <c r="H52" i="2" s="1"/>
  <c r="C52" i="2"/>
  <c r="P51" i="2"/>
  <c r="O51" i="2"/>
  <c r="N51" i="2"/>
  <c r="M51" i="2"/>
  <c r="L51" i="2"/>
  <c r="K51" i="2"/>
  <c r="I51" i="2"/>
  <c r="J51" i="2" s="1"/>
  <c r="G51" i="2"/>
  <c r="E51" i="2"/>
  <c r="D51" i="2"/>
  <c r="H51" i="2" s="1"/>
  <c r="C51" i="2"/>
  <c r="P50" i="2"/>
  <c r="O50" i="2"/>
  <c r="N50" i="2"/>
  <c r="M50" i="2"/>
  <c r="L50" i="2"/>
  <c r="K50" i="2"/>
  <c r="G50" i="2"/>
  <c r="E50" i="2"/>
  <c r="D50" i="2"/>
  <c r="I50" i="2" s="1"/>
  <c r="J50" i="2" s="1"/>
  <c r="C50" i="2"/>
  <c r="P49" i="2"/>
  <c r="O49" i="2"/>
  <c r="N49" i="2"/>
  <c r="M49" i="2"/>
  <c r="L49" i="2"/>
  <c r="K49" i="2"/>
  <c r="J49" i="2"/>
  <c r="I49" i="2"/>
  <c r="H49" i="2"/>
  <c r="G49" i="2"/>
  <c r="E49" i="2"/>
  <c r="D49" i="2"/>
  <c r="C49" i="2"/>
  <c r="P48" i="2"/>
  <c r="O48" i="2"/>
  <c r="N48" i="2"/>
  <c r="M48" i="2"/>
  <c r="L48" i="2"/>
  <c r="K48" i="2"/>
  <c r="I48" i="2"/>
  <c r="J48" i="2" s="1"/>
  <c r="H48" i="2"/>
  <c r="G48" i="2"/>
  <c r="E48" i="2"/>
  <c r="D48" i="2"/>
  <c r="C48" i="2"/>
  <c r="P47" i="2"/>
  <c r="O47" i="2"/>
  <c r="N47" i="2"/>
  <c r="M47" i="2"/>
  <c r="L47" i="2"/>
  <c r="K47" i="2"/>
  <c r="G47" i="2"/>
  <c r="E47" i="2"/>
  <c r="D47" i="2"/>
  <c r="I47" i="2" s="1"/>
  <c r="J47" i="2" s="1"/>
  <c r="C47" i="2"/>
  <c r="P46" i="2"/>
  <c r="O46" i="2"/>
  <c r="N46" i="2"/>
  <c r="M46" i="2"/>
  <c r="L46" i="2"/>
  <c r="K46" i="2"/>
  <c r="H46" i="2"/>
  <c r="G46" i="2"/>
  <c r="E46" i="2"/>
  <c r="D46" i="2"/>
  <c r="I46" i="2" s="1"/>
  <c r="J46" i="2" s="1"/>
  <c r="C46" i="2"/>
  <c r="P45" i="2"/>
  <c r="O45" i="2"/>
  <c r="N45" i="2"/>
  <c r="M45" i="2"/>
  <c r="L45" i="2"/>
  <c r="K45" i="2"/>
  <c r="G45" i="2"/>
  <c r="E45" i="2"/>
  <c r="D45" i="2"/>
  <c r="I45" i="2" s="1"/>
  <c r="J45" i="2" s="1"/>
  <c r="C45" i="2"/>
  <c r="P44" i="2"/>
  <c r="O44" i="2"/>
  <c r="N44" i="2"/>
  <c r="M44" i="2"/>
  <c r="L44" i="2"/>
  <c r="K44" i="2"/>
  <c r="I44" i="2"/>
  <c r="J44" i="2" s="1"/>
  <c r="H44" i="2"/>
  <c r="G44" i="2"/>
  <c r="E44" i="2"/>
  <c r="D44" i="2"/>
  <c r="C44" i="2"/>
  <c r="P43" i="2"/>
  <c r="O43" i="2"/>
  <c r="N43" i="2"/>
  <c r="M43" i="2"/>
  <c r="L43" i="2"/>
  <c r="K43" i="2"/>
  <c r="G43" i="2"/>
  <c r="E43" i="2"/>
  <c r="D43" i="2"/>
  <c r="H43" i="2" s="1"/>
  <c r="C43" i="2"/>
  <c r="P42" i="2"/>
  <c r="O42" i="2"/>
  <c r="N42" i="2"/>
  <c r="M42" i="2"/>
  <c r="L42" i="2"/>
  <c r="K42" i="2"/>
  <c r="G42" i="2"/>
  <c r="E42" i="2"/>
  <c r="D42" i="2"/>
  <c r="I42" i="2" s="1"/>
  <c r="J42" i="2" s="1"/>
  <c r="C42" i="2"/>
  <c r="P41" i="2"/>
  <c r="O41" i="2"/>
  <c r="N41" i="2"/>
  <c r="M41" i="2"/>
  <c r="L41" i="2"/>
  <c r="K41" i="2"/>
  <c r="I41" i="2"/>
  <c r="J41" i="2" s="1"/>
  <c r="H41" i="2"/>
  <c r="G41" i="2"/>
  <c r="E41" i="2"/>
  <c r="D41" i="2"/>
  <c r="C41" i="2"/>
  <c r="P40" i="2"/>
  <c r="O40" i="2"/>
  <c r="N40" i="2"/>
  <c r="M40" i="2"/>
  <c r="L40" i="2"/>
  <c r="K40" i="2"/>
  <c r="G40" i="2"/>
  <c r="E40" i="2"/>
  <c r="D40" i="2"/>
  <c r="I40" i="2" s="1"/>
  <c r="J40" i="2" s="1"/>
  <c r="C40" i="2"/>
  <c r="P39" i="2"/>
  <c r="O39" i="2"/>
  <c r="N39" i="2"/>
  <c r="M39" i="2"/>
  <c r="L39" i="2"/>
  <c r="K39" i="2"/>
  <c r="I39" i="2"/>
  <c r="J39" i="2" s="1"/>
  <c r="H39" i="2"/>
  <c r="G39" i="2"/>
  <c r="E39" i="2"/>
  <c r="D39" i="2"/>
  <c r="C39" i="2"/>
  <c r="P38" i="2"/>
  <c r="O38" i="2"/>
  <c r="N38" i="2"/>
  <c r="M38" i="2"/>
  <c r="L38" i="2"/>
  <c r="K38" i="2"/>
  <c r="G38" i="2"/>
  <c r="E38" i="2"/>
  <c r="D38" i="2"/>
  <c r="I38" i="2" s="1"/>
  <c r="J38" i="2" s="1"/>
  <c r="C38" i="2"/>
  <c r="P37" i="2"/>
  <c r="O37" i="2"/>
  <c r="N37" i="2"/>
  <c r="M37" i="2"/>
  <c r="L37" i="2"/>
  <c r="K37" i="2"/>
  <c r="G37" i="2"/>
  <c r="E37" i="2"/>
  <c r="D37" i="2"/>
  <c r="I37" i="2" s="1"/>
  <c r="J37" i="2" s="1"/>
  <c r="C37" i="2"/>
  <c r="P36" i="2"/>
  <c r="O36" i="2"/>
  <c r="N36" i="2"/>
  <c r="M36" i="2"/>
  <c r="L36" i="2"/>
  <c r="K36" i="2"/>
  <c r="I36" i="2"/>
  <c r="J36" i="2" s="1"/>
  <c r="H36" i="2"/>
  <c r="G36" i="2"/>
  <c r="E36" i="2"/>
  <c r="D36" i="2"/>
  <c r="C36" i="2"/>
  <c r="P35" i="2"/>
  <c r="O35" i="2"/>
  <c r="N35" i="2"/>
  <c r="M35" i="2"/>
  <c r="L35" i="2"/>
  <c r="K35" i="2"/>
  <c r="G35" i="2"/>
  <c r="E35" i="2"/>
  <c r="D35" i="2"/>
  <c r="I35" i="2" s="1"/>
  <c r="J35" i="2" s="1"/>
  <c r="C35" i="2"/>
  <c r="P34" i="2"/>
  <c r="O34" i="2"/>
  <c r="N34" i="2"/>
  <c r="M34" i="2"/>
  <c r="L34" i="2"/>
  <c r="K34" i="2"/>
  <c r="H34" i="2"/>
  <c r="G34" i="2"/>
  <c r="E34" i="2"/>
  <c r="D34" i="2"/>
  <c r="I34" i="2" s="1"/>
  <c r="J34" i="2" s="1"/>
  <c r="C34" i="2"/>
  <c r="P33" i="2"/>
  <c r="O33" i="2"/>
  <c r="N33" i="2"/>
  <c r="M33" i="2"/>
  <c r="L33" i="2"/>
  <c r="K33" i="2"/>
  <c r="G33" i="2"/>
  <c r="E33" i="2"/>
  <c r="D33" i="2"/>
  <c r="I33" i="2" s="1"/>
  <c r="J33" i="2" s="1"/>
  <c r="C33" i="2"/>
  <c r="P32" i="2"/>
  <c r="O32" i="2"/>
  <c r="N32" i="2"/>
  <c r="M32" i="2"/>
  <c r="L32" i="2"/>
  <c r="K32" i="2"/>
  <c r="I32" i="2"/>
  <c r="J32" i="2" s="1"/>
  <c r="G32" i="2"/>
  <c r="E32" i="2"/>
  <c r="D32" i="2"/>
  <c r="H32" i="2" s="1"/>
  <c r="C32" i="2"/>
  <c r="P31" i="2"/>
  <c r="O31" i="2"/>
  <c r="N31" i="2"/>
  <c r="M31" i="2"/>
  <c r="L31" i="2"/>
  <c r="K31" i="2"/>
  <c r="G31" i="2"/>
  <c r="E31" i="2"/>
  <c r="D31" i="2"/>
  <c r="I31" i="2" s="1"/>
  <c r="J31" i="2" s="1"/>
  <c r="C31" i="2"/>
  <c r="P30" i="2"/>
  <c r="O30" i="2"/>
  <c r="N30" i="2"/>
  <c r="M30" i="2"/>
  <c r="L30" i="2"/>
  <c r="K30" i="2"/>
  <c r="G30" i="2"/>
  <c r="E30" i="2"/>
  <c r="D30" i="2"/>
  <c r="H30" i="2" s="1"/>
  <c r="C30" i="2"/>
  <c r="P29" i="2"/>
  <c r="O29" i="2"/>
  <c r="N29" i="2"/>
  <c r="M29" i="2"/>
  <c r="L29" i="2"/>
  <c r="K29" i="2"/>
  <c r="I29" i="2"/>
  <c r="J29" i="2" s="1"/>
  <c r="G29" i="2"/>
  <c r="E29" i="2"/>
  <c r="D29" i="2"/>
  <c r="H29" i="2" s="1"/>
  <c r="C29" i="2"/>
  <c r="P28" i="2"/>
  <c r="O28" i="2"/>
  <c r="N28" i="2"/>
  <c r="M28" i="2"/>
  <c r="L28" i="2"/>
  <c r="K28" i="2"/>
  <c r="G28" i="2"/>
  <c r="E28" i="2"/>
  <c r="D28" i="2"/>
  <c r="I28" i="2" s="1"/>
  <c r="J28" i="2" s="1"/>
  <c r="C28" i="2"/>
  <c r="P27" i="2"/>
  <c r="O27" i="2"/>
  <c r="N27" i="2"/>
  <c r="M27" i="2"/>
  <c r="L27" i="2"/>
  <c r="K27" i="2"/>
  <c r="J27" i="2"/>
  <c r="I27" i="2"/>
  <c r="H27" i="2"/>
  <c r="G27" i="2"/>
  <c r="E27" i="2"/>
  <c r="D27" i="2"/>
  <c r="C27" i="2"/>
  <c r="P26" i="2"/>
  <c r="O26" i="2"/>
  <c r="N26" i="2"/>
  <c r="M26" i="2"/>
  <c r="L26" i="2"/>
  <c r="K26" i="2"/>
  <c r="I26" i="2"/>
  <c r="J26" i="2" s="1"/>
  <c r="H26" i="2"/>
  <c r="G26" i="2"/>
  <c r="E26" i="2"/>
  <c r="D26" i="2"/>
  <c r="C26" i="2"/>
  <c r="P25" i="2"/>
  <c r="O25" i="2"/>
  <c r="N25" i="2"/>
  <c r="M25" i="2"/>
  <c r="L25" i="2"/>
  <c r="K25" i="2"/>
  <c r="G25" i="2"/>
  <c r="E25" i="2"/>
  <c r="D25" i="2"/>
  <c r="I25" i="2" s="1"/>
  <c r="J25" i="2" s="1"/>
  <c r="C25" i="2"/>
  <c r="P24" i="2"/>
  <c r="O24" i="2"/>
  <c r="N24" i="2"/>
  <c r="M24" i="2"/>
  <c r="L24" i="2"/>
  <c r="K24" i="2"/>
  <c r="H24" i="2"/>
  <c r="G24" i="2"/>
  <c r="E24" i="2"/>
  <c r="D24" i="2"/>
  <c r="I24" i="2" s="1"/>
  <c r="J24" i="2" s="1"/>
  <c r="C24" i="2"/>
  <c r="P23" i="2"/>
  <c r="O23" i="2"/>
  <c r="N23" i="2"/>
  <c r="M23" i="2"/>
  <c r="L23" i="2"/>
  <c r="K23" i="2"/>
  <c r="G23" i="2"/>
  <c r="E23" i="2"/>
  <c r="D23" i="2"/>
  <c r="I23" i="2" s="1"/>
  <c r="J23" i="2" s="1"/>
  <c r="C23" i="2"/>
  <c r="P22" i="2"/>
  <c r="O22" i="2"/>
  <c r="N22" i="2"/>
  <c r="M22" i="2"/>
  <c r="L22" i="2"/>
  <c r="K22" i="2"/>
  <c r="I22" i="2"/>
  <c r="J22" i="2" s="1"/>
  <c r="H22" i="2"/>
  <c r="G22" i="2"/>
  <c r="E22" i="2"/>
  <c r="D22" i="2"/>
  <c r="C22" i="2"/>
  <c r="P21" i="2"/>
  <c r="O21" i="2"/>
  <c r="N21" i="2"/>
  <c r="M21" i="2"/>
  <c r="L21" i="2"/>
  <c r="K21" i="2"/>
  <c r="G21" i="2"/>
  <c r="E21" i="2"/>
  <c r="D21" i="2"/>
  <c r="I21" i="2" s="1"/>
  <c r="J21" i="2" s="1"/>
  <c r="C21" i="2"/>
  <c r="P20" i="2"/>
  <c r="O20" i="2"/>
  <c r="N20" i="2"/>
  <c r="M20" i="2"/>
  <c r="L20" i="2"/>
  <c r="K20" i="2"/>
  <c r="G20" i="2"/>
  <c r="E20" i="2"/>
  <c r="D20" i="2"/>
  <c r="I20" i="2" s="1"/>
  <c r="J20" i="2" s="1"/>
  <c r="C20" i="2"/>
  <c r="P19" i="2"/>
  <c r="O19" i="2"/>
  <c r="N19" i="2"/>
  <c r="M19" i="2"/>
  <c r="L19" i="2"/>
  <c r="K19" i="2"/>
  <c r="I19" i="2"/>
  <c r="J19" i="2" s="1"/>
  <c r="H19" i="2"/>
  <c r="G19" i="2"/>
  <c r="E19" i="2"/>
  <c r="D19" i="2"/>
  <c r="C19" i="2"/>
  <c r="P18" i="2"/>
  <c r="O18" i="2"/>
  <c r="N18" i="2"/>
  <c r="M18" i="2"/>
  <c r="L18" i="2"/>
  <c r="K18" i="2"/>
  <c r="G18" i="2"/>
  <c r="E18" i="2"/>
  <c r="D18" i="2"/>
  <c r="I18" i="2" s="1"/>
  <c r="J18" i="2" s="1"/>
  <c r="C18" i="2"/>
  <c r="P17" i="2"/>
  <c r="O17" i="2"/>
  <c r="N17" i="2"/>
  <c r="M17" i="2"/>
  <c r="L17" i="2"/>
  <c r="K17" i="2"/>
  <c r="I17" i="2"/>
  <c r="J17" i="2" s="1"/>
  <c r="H17" i="2"/>
  <c r="G17" i="2"/>
  <c r="E17" i="2"/>
  <c r="D17" i="2"/>
  <c r="C17" i="2"/>
  <c r="P16" i="2"/>
  <c r="O16" i="2"/>
  <c r="N16" i="2"/>
  <c r="M16" i="2"/>
  <c r="L16" i="2"/>
  <c r="K16" i="2"/>
  <c r="G16" i="2"/>
  <c r="E16" i="2"/>
  <c r="D16" i="2"/>
  <c r="H16" i="2" s="1"/>
  <c r="C16" i="2"/>
  <c r="P15" i="2"/>
  <c r="O15" i="2"/>
  <c r="N15" i="2"/>
  <c r="M15" i="2"/>
  <c r="L15" i="2"/>
  <c r="K15" i="2"/>
  <c r="G15" i="2"/>
  <c r="E15" i="2"/>
  <c r="D15" i="2"/>
  <c r="I15" i="2" s="1"/>
  <c r="J15" i="2" s="1"/>
  <c r="C15" i="2"/>
  <c r="P14" i="2"/>
  <c r="O14" i="2"/>
  <c r="N14" i="2"/>
  <c r="M14" i="2"/>
  <c r="L14" i="2"/>
  <c r="K14" i="2"/>
  <c r="I14" i="2"/>
  <c r="J14" i="2" s="1"/>
  <c r="H14" i="2"/>
  <c r="G14" i="2"/>
  <c r="E14" i="2"/>
  <c r="D14" i="2"/>
  <c r="C14" i="2"/>
  <c r="P13" i="2"/>
  <c r="O13" i="2"/>
  <c r="N13" i="2"/>
  <c r="M13" i="2"/>
  <c r="L13" i="2"/>
  <c r="K13" i="2"/>
  <c r="G13" i="2"/>
  <c r="E13" i="2"/>
  <c r="D13" i="2"/>
  <c r="I13" i="2" s="1"/>
  <c r="J13" i="2" s="1"/>
  <c r="C13" i="2"/>
  <c r="P12" i="2"/>
  <c r="O12" i="2"/>
  <c r="N12" i="2"/>
  <c r="M12" i="2"/>
  <c r="L12" i="2"/>
  <c r="K12" i="2"/>
  <c r="H12" i="2"/>
  <c r="G12" i="2"/>
  <c r="E12" i="2"/>
  <c r="D12" i="2"/>
  <c r="I12" i="2" s="1"/>
  <c r="J12" i="2" s="1"/>
  <c r="C12" i="2"/>
  <c r="P11" i="2"/>
  <c r="O11" i="2"/>
  <c r="N11" i="2"/>
  <c r="M11" i="2"/>
  <c r="L11" i="2"/>
  <c r="K11" i="2"/>
  <c r="G11" i="2"/>
  <c r="E11" i="2"/>
  <c r="D11" i="2"/>
  <c r="I11" i="2" s="1"/>
  <c r="J11" i="2" s="1"/>
  <c r="C11" i="2"/>
  <c r="H31" i="2" l="1"/>
  <c r="H21" i="2"/>
  <c r="H38" i="2"/>
  <c r="H60" i="2"/>
  <c r="H11" i="2"/>
  <c r="I16" i="2"/>
  <c r="J16" i="2" s="1"/>
  <c r="H55" i="2"/>
  <c r="H63" i="2"/>
  <c r="H62" i="2"/>
  <c r="I43" i="2"/>
  <c r="J43" i="2" s="1"/>
  <c r="H33" i="2"/>
  <c r="H50" i="2"/>
  <c r="H45" i="2"/>
  <c r="H18" i="2"/>
  <c r="H35" i="2"/>
  <c r="I57" i="2"/>
  <c r="J57" i="2" s="1"/>
  <c r="H25" i="2"/>
  <c r="I30" i="2"/>
  <c r="J30" i="2" s="1"/>
  <c r="H47" i="2"/>
  <c r="I52" i="2"/>
  <c r="J52" i="2" s="1"/>
  <c r="H20" i="2"/>
  <c r="H42" i="2"/>
  <c r="H15" i="2"/>
  <c r="H37" i="2"/>
  <c r="H59" i="2"/>
  <c r="H53" i="2"/>
  <c r="H23" i="2"/>
  <c r="H13" i="2"/>
  <c r="H28" i="2"/>
  <c r="H4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  <author>Unknown Author</author>
  </authors>
  <commentList>
    <comment ref="B10" authorId="0" shapeId="0" xr:uid="{00000000-0006-0000-0100-000001000000}">
      <text>
        <r>
          <rPr>
            <sz val="10"/>
            <rFont val="Arial"/>
            <family val="2"/>
          </rPr>
          <t>Добавьте в столбец  кодовые номера продукции РИДАН</t>
        </r>
      </text>
    </comment>
    <comment ref="D10" authorId="1" shapeId="0" xr:uid="{00000000-0006-0000-01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E10" authorId="1" shapeId="0" xr:uid="{00000000-0006-0000-01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F10" authorId="0" shapeId="0" xr:uid="{00000000-0006-0000-0100-000004000000}">
      <text>
        <r>
          <rPr>
            <sz val="10"/>
            <rFont val="Arial"/>
            <family val="2"/>
          </rPr>
          <t>Внесите нужное значение в колонку "Количество"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M11" authorId="0" shapeId="0" xr:uid="{00000000-0006-0000-0A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N11" authorId="0" shapeId="0" xr:uid="{00000000-0006-0000-0A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M23" authorId="0" shapeId="0" xr:uid="{00000000-0006-0000-0A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N23" authorId="0" shapeId="0" xr:uid="{00000000-0006-0000-0A00-000005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M29" authorId="0" shapeId="0" xr:uid="{00000000-0006-0000-0A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N29" authorId="0" shapeId="0" xr:uid="{00000000-0006-0000-0A00-000006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K11" authorId="0" shapeId="0" xr:uid="{00000000-0006-0000-0B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11" authorId="0" shapeId="0" xr:uid="{00000000-0006-0000-0B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34" authorId="0" shapeId="0" xr:uid="{00000000-0006-0000-0B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34" authorId="0" shapeId="0" xr:uid="{00000000-0006-0000-0B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K11" authorId="0" shapeId="0" xr:uid="{00000000-0006-0000-0C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11" authorId="0" shapeId="0" xr:uid="{00000000-0006-0000-0C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31" authorId="0" shapeId="0" xr:uid="{00000000-0006-0000-0C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31" authorId="0" shapeId="0" xr:uid="{00000000-0006-0000-0C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J11" authorId="0" shapeId="0" xr:uid="{00000000-0006-0000-0D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11" authorId="0" shapeId="0" xr:uid="{00000000-0006-0000-0D00-000005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28" authorId="0" shapeId="0" xr:uid="{00000000-0006-0000-0D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28" authorId="0" shapeId="0" xr:uid="{00000000-0006-0000-0D00-000006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33" authorId="0" shapeId="0" xr:uid="{00000000-0006-0000-0D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33" authorId="0" shapeId="0" xr:uid="{00000000-0006-0000-0D00-000007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39" authorId="0" shapeId="0" xr:uid="{00000000-0006-0000-0D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39" authorId="0" shapeId="0" xr:uid="{00000000-0006-0000-0D00-000008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J11" authorId="0" shapeId="0" xr:uid="{00000000-0006-0000-0E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11" authorId="0" shapeId="0" xr:uid="{00000000-0006-0000-0E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J11" authorId="0" shapeId="0" xr:uid="{00000000-0006-0000-0F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11" authorId="0" shapeId="0" xr:uid="{00000000-0006-0000-0F00-000005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23" authorId="0" shapeId="0" xr:uid="{00000000-0006-0000-0F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23" authorId="0" shapeId="0" xr:uid="{00000000-0006-0000-0F00-000006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29" authorId="0" shapeId="0" xr:uid="{00000000-0006-0000-0F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29" authorId="0" shapeId="0" xr:uid="{00000000-0006-0000-0F00-000007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37" authorId="0" shapeId="0" xr:uid="{00000000-0006-0000-0F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37" authorId="0" shapeId="0" xr:uid="{00000000-0006-0000-0F00-000008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K11" authorId="0" shapeId="0" xr:uid="{00000000-0006-0000-10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11" authorId="0" shapeId="0" xr:uid="{00000000-0006-0000-10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J11" authorId="0" shapeId="0" xr:uid="{00000000-0006-0000-11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11" authorId="0" shapeId="0" xr:uid="{00000000-0006-0000-11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37" authorId="0" shapeId="0" xr:uid="{00000000-0006-0000-11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37" authorId="0" shapeId="0" xr:uid="{00000000-0006-0000-11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I11" authorId="0" shapeId="0" xr:uid="{00000000-0006-0000-12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11" authorId="0" shapeId="0" xr:uid="{00000000-0006-0000-12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J11" authorId="0" shapeId="0" xr:uid="{00000000-0006-0000-13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11" authorId="0" shapeId="0" xr:uid="{00000000-0006-0000-13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Q11" authorId="0" shapeId="0" xr:uid="{00000000-0006-0000-13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R11" authorId="0" shapeId="0" xr:uid="{00000000-0006-0000-13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S12" authorId="0" shapeId="0" xr:uid="{00000000-0006-0000-02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T12" authorId="0" shapeId="0" xr:uid="{00000000-0006-0000-02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S32" authorId="0" shapeId="0" xr:uid="{00000000-0006-0000-02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T32" authorId="0" shapeId="0" xr:uid="{00000000-0006-0000-02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I11" authorId="0" shapeId="0" xr:uid="{00000000-0006-0000-14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11" authorId="0" shapeId="0" xr:uid="{00000000-0006-0000-14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I11" authorId="0" shapeId="0" xr:uid="{00000000-0006-0000-15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11" authorId="0" shapeId="0" xr:uid="{00000000-0006-0000-15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K11" authorId="0" shapeId="0" xr:uid="{00000000-0006-0000-16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11" authorId="0" shapeId="0" xr:uid="{00000000-0006-0000-16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J5" authorId="0" shapeId="0" xr:uid="{00000000-0006-0000-17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5" authorId="0" shapeId="0" xr:uid="{00000000-0006-0000-17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50" authorId="0" shapeId="0" xr:uid="{00000000-0006-0000-17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50" authorId="0" shapeId="0" xr:uid="{00000000-0006-0000-1700-000005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64" authorId="0" shapeId="0" xr:uid="{00000000-0006-0000-17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64" authorId="0" shapeId="0" xr:uid="{00000000-0006-0000-1700-000006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G1" authorId="0" shapeId="0" xr:uid="{00000000-0006-0000-1800-000001000000}">
      <text>
        <r>
          <rPr>
            <sz val="10"/>
            <rFont val="Arial"/>
            <family val="2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Типоразмер</t>
        </r>
      </text>
    </comment>
    <comment ref="H1" authorId="0" shapeId="0" xr:uid="{00000000-0006-0000-1800-000002000000}">
      <text>
        <r>
          <rPr>
            <sz val="10"/>
            <rFont val="Arial"/>
            <family val="2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МРД - максимальное рабочее давление</t>
        </r>
      </text>
    </comment>
    <comment ref="H19" authorId="0" shapeId="0" xr:uid="{00000000-0006-0000-1800-000003000000}">
      <text>
        <r>
          <rPr>
            <sz val="10"/>
            <rFont val="Arial"/>
            <family val="2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28 - R717 (аммиак)
30 - ГФУ и ГХФУ хладагенты</t>
        </r>
      </text>
    </comment>
    <comment ref="H35" authorId="0" shapeId="0" xr:uid="{00000000-0006-0000-1800-000004000000}">
      <text>
        <r>
          <rPr>
            <sz val="10"/>
            <rFont val="Arial"/>
            <family val="2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28 - R717 (аммиак)
30 - ГФУ и ГХФУ хладагенты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K11" authorId="0" shapeId="0" xr:uid="{00000000-0006-0000-03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11" authorId="0" shapeId="0" xr:uid="{00000000-0006-0000-03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K11" authorId="0" shapeId="0" xr:uid="{00000000-0006-0000-04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11" authorId="0" shapeId="0" xr:uid="{00000000-0006-0000-04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K11" authorId="0" shapeId="0" xr:uid="{00000000-0006-0000-05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11" authorId="0" shapeId="0" xr:uid="{00000000-0006-0000-05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46" authorId="0" shapeId="0" xr:uid="{00000000-0006-0000-05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46" authorId="0" shapeId="0" xr:uid="{00000000-0006-0000-05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K11" authorId="0" shapeId="0" xr:uid="{00000000-0006-0000-06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11" authorId="0" shapeId="0" xr:uid="{00000000-0006-0000-06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56" authorId="0" shapeId="0" xr:uid="{00000000-0006-0000-06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L56" authorId="0" shapeId="0" xr:uid="{00000000-0006-0000-06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J11" authorId="0" shapeId="0" xr:uid="{00000000-0006-0000-07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11" authorId="0" shapeId="0" xr:uid="{00000000-0006-0000-07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J71" authorId="0" shapeId="0" xr:uid="{00000000-0006-0000-07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K71" authorId="0" shapeId="0" xr:uid="{00000000-0006-0000-07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P11" authorId="0" shapeId="0" xr:uid="{00000000-0006-0000-08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Q11" authorId="0" shapeId="0" xr:uid="{00000000-0006-0000-0800-000003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X11" authorId="0" shapeId="0" xr:uid="{00000000-0006-0000-0800-000005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Y11" authorId="0" shapeId="0" xr:uid="{00000000-0006-0000-0800-000006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P65" authorId="0" shapeId="0" xr:uid="{00000000-0006-0000-08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Q65" authorId="0" shapeId="0" xr:uid="{00000000-0006-0000-0800-000004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Тазитдинов Рамиль</author>
  </authors>
  <commentList>
    <comment ref="L11" authorId="0" shapeId="0" xr:uid="{00000000-0006-0000-0900-000001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  <comment ref="M11" authorId="0" shapeId="0" xr:uid="{00000000-0006-0000-0900-000002000000}">
      <text>
        <r>
          <rPr>
            <sz val="10"/>
            <rFont val="Arial"/>
            <family val="2"/>
          </rPr>
          <t>«1 у.е = 1 Евро ЦБ + 5% на день оплаты»</t>
        </r>
      </text>
    </comment>
  </commentList>
</comments>
</file>

<file path=xl/sharedStrings.xml><?xml version="1.0" encoding="utf-8"?>
<sst xmlns="http://schemas.openxmlformats.org/spreadsheetml/2006/main" count="8086" uniqueCount="1883">
  <si>
    <r>
      <rPr>
        <b/>
        <sz val="15"/>
        <color theme="0"/>
        <rFont val="Verdana"/>
        <family val="2"/>
        <charset val="1"/>
      </rPr>
      <t>Прайс-лист</t>
    </r>
    <r>
      <rPr>
        <sz val="15"/>
        <color theme="0"/>
        <rFont val="Verdana"/>
        <family val="2"/>
        <charset val="1"/>
      </rPr>
      <t xml:space="preserve"> на клапаны и компоненты для промышленных систем холодоснабжения </t>
    </r>
  </si>
  <si>
    <t>Содержание</t>
  </si>
  <si>
    <t>Описание</t>
  </si>
  <si>
    <t>КЛАПАННЫЕ СТАНЦИИ</t>
  </si>
  <si>
    <t xml:space="preserve">Линейка клапанов и компонентов предназначена для установки на узлах обвязки емкостного, компрессорного и теплообменного оборудования промышленных холодильных установок, а также на магистральных участках трубопроводов системы. </t>
  </si>
  <si>
    <r>
      <rPr>
        <sz val="11"/>
        <rFont val="Verdana"/>
        <family val="2"/>
        <charset val="1"/>
      </rPr>
      <t xml:space="preserve">Клапанные станции </t>
    </r>
    <r>
      <rPr>
        <sz val="11"/>
        <color rgb="FF0000FF"/>
        <rFont val="Verdana"/>
        <family val="2"/>
        <charset val="1"/>
      </rPr>
      <t>ICF-R</t>
    </r>
    <r>
      <rPr>
        <sz val="11"/>
        <rFont val="Verdana"/>
        <family val="2"/>
        <charset val="1"/>
      </rPr>
      <t>…...........................................................................</t>
    </r>
  </si>
  <si>
    <t xml:space="preserve">открыть </t>
  </si>
  <si>
    <t xml:space="preserve">ЗАПОРНЫЕ КЛАПАНЫ </t>
  </si>
  <si>
    <t>Комплект разрешительной документации</t>
  </si>
  <si>
    <r>
      <rPr>
        <sz val="11"/>
        <rFont val="Verdana"/>
        <family val="2"/>
        <charset val="1"/>
      </rPr>
      <t xml:space="preserve">Запорные клапаны </t>
    </r>
    <r>
      <rPr>
        <sz val="11"/>
        <color rgb="FF0000FF"/>
        <rFont val="Verdana"/>
        <family val="2"/>
        <charset val="1"/>
      </rPr>
      <t>SVA</t>
    </r>
    <r>
      <rPr>
        <sz val="11"/>
        <rFont val="Verdana"/>
        <family val="2"/>
        <charset val="1"/>
      </rPr>
      <t>…..............................................................................</t>
    </r>
  </si>
  <si>
    <r>
      <rPr>
        <sz val="11"/>
        <rFont val="Verdana"/>
        <family val="2"/>
        <charset val="1"/>
      </rPr>
      <t xml:space="preserve">
Клапаны и компоненты имеют полный комплект разрешительной и технической документации на русском языке для применения на территории стран Таможенного союза.
Комплект включает в себя следующий перечень документов: Паспорт, Руководство по эксплуатации, Обоснование безопасности, Декларации и/или Сертификаты соответствия согласно:
• ТР ТС 010/2011 «О безопасности машин и оборудования»
• ТР ТС 032/2013 «О безопасности оборудования, работающего под избыточным давлением»
• ТР ТС 004/2011 «О безопасности низковольтного оборудования»
• ТР ТС 020/2011 «Электромагнитная совместимость технических средств»
Полный комплект технической документации, включая сертификаты и декларации, доступен для скачивания на сайте </t>
    </r>
    <r>
      <rPr>
        <sz val="11"/>
        <color rgb="FF0000FF"/>
        <rFont val="Verdana"/>
        <family val="2"/>
        <charset val="1"/>
      </rPr>
      <t>ridan.ru</t>
    </r>
  </si>
  <si>
    <r>
      <rPr>
        <sz val="11"/>
        <rFont val="Verdana"/>
        <family val="2"/>
        <charset val="1"/>
      </rPr>
      <t xml:space="preserve">Быстроспускные запорные клапаны </t>
    </r>
    <r>
      <rPr>
        <sz val="11"/>
        <color rgb="FF0000FF"/>
        <rFont val="Verdana"/>
        <family val="2"/>
        <charset val="1"/>
      </rPr>
      <t>SVA-Q</t>
    </r>
    <r>
      <rPr>
        <sz val="11"/>
        <rFont val="Verdana"/>
        <family val="2"/>
        <charset val="1"/>
      </rPr>
      <t>…................................................</t>
    </r>
  </si>
  <si>
    <r>
      <rPr>
        <sz val="11"/>
        <rFont val="Verdana"/>
        <family val="2"/>
        <charset val="1"/>
      </rPr>
      <t xml:space="preserve">Сервисные клапаны </t>
    </r>
    <r>
      <rPr>
        <sz val="11"/>
        <color rgb="FF0000FF"/>
        <rFont val="Verdana"/>
        <family val="2"/>
        <charset val="1"/>
      </rPr>
      <t>SNV</t>
    </r>
    <r>
      <rPr>
        <sz val="11"/>
        <rFont val="Verdana"/>
        <family val="2"/>
        <charset val="1"/>
      </rPr>
      <t>…............................................................................</t>
    </r>
  </si>
  <si>
    <t>РУЧНЫЕ РЕГУЛИРУЮЩИЕ КЛАПАНЫ</t>
  </si>
  <si>
    <r>
      <rPr>
        <sz val="11"/>
        <rFont val="Verdana"/>
        <family val="2"/>
        <charset val="1"/>
      </rPr>
      <t xml:space="preserve">Ручные регулирующие клапаны </t>
    </r>
    <r>
      <rPr>
        <sz val="11"/>
        <color rgb="FF0000FF"/>
        <rFont val="Verdana"/>
        <family val="2"/>
        <charset val="1"/>
      </rPr>
      <t>REG</t>
    </r>
    <r>
      <rPr>
        <sz val="11"/>
        <rFont val="Verdana"/>
        <family val="2"/>
        <charset val="1"/>
      </rPr>
      <t>…..........................................................</t>
    </r>
  </si>
  <si>
    <t xml:space="preserve">ОБРАТНЫЕ КЛАПАНЫ </t>
  </si>
  <si>
    <r>
      <rPr>
        <sz val="11"/>
        <rFont val="Verdana"/>
        <family val="2"/>
        <charset val="1"/>
      </rPr>
      <t xml:space="preserve">Обратно-запорные клапаны </t>
    </r>
    <r>
      <rPr>
        <sz val="11"/>
        <color rgb="FF0000FF"/>
        <rFont val="Verdana"/>
        <family val="2"/>
        <charset val="1"/>
      </rPr>
      <t>SCA</t>
    </r>
    <r>
      <rPr>
        <sz val="11"/>
        <rFont val="Verdana"/>
        <family val="2"/>
        <charset val="1"/>
      </rPr>
      <t>…................................................................</t>
    </r>
  </si>
  <si>
    <r>
      <rPr>
        <sz val="11"/>
        <rFont val="Verdana"/>
        <family val="2"/>
        <charset val="1"/>
      </rPr>
      <t xml:space="preserve">Обратные клапаны </t>
    </r>
    <r>
      <rPr>
        <sz val="11"/>
        <color rgb="FF0000FF"/>
        <rFont val="Verdana"/>
        <family val="2"/>
        <charset val="1"/>
      </rPr>
      <t>CHV</t>
    </r>
    <r>
      <rPr>
        <sz val="11"/>
        <rFont val="Verdana"/>
        <family val="2"/>
        <charset val="1"/>
      </rPr>
      <t>................................................................................</t>
    </r>
  </si>
  <si>
    <t xml:space="preserve">СЕТЧАТЫЕ ФИЛЬТРЫ и ФИЛЬТРУЮЩИЕ ВСТАВКИ </t>
  </si>
  <si>
    <r>
      <rPr>
        <sz val="11"/>
        <rFont val="Verdana"/>
        <family val="2"/>
        <charset val="1"/>
      </rPr>
      <t xml:space="preserve">Сетчатые фильтры </t>
    </r>
    <r>
      <rPr>
        <sz val="11"/>
        <color rgb="FF0000FF"/>
        <rFont val="Verdana"/>
        <family val="2"/>
        <charset val="1"/>
      </rPr>
      <t>FIA</t>
    </r>
    <r>
      <rPr>
        <sz val="11"/>
        <rFont val="Verdana"/>
        <family val="2"/>
        <charset val="1"/>
      </rPr>
      <t>…................................................................................</t>
    </r>
  </si>
  <si>
    <t xml:space="preserve">ЭЛЕКТРОМАГНИТНЫЕ КЛАПАНЫ и КАТУШКИ </t>
  </si>
  <si>
    <t>Применение на Опасных Производственных Объектах</t>
  </si>
  <si>
    <r>
      <rPr>
        <sz val="11"/>
        <rFont val="Verdana"/>
        <family val="2"/>
        <charset val="1"/>
      </rPr>
      <t xml:space="preserve">Электромагнитные клапаны </t>
    </r>
    <r>
      <rPr>
        <sz val="11"/>
        <color rgb="FF0000FF"/>
        <rFont val="Verdana"/>
        <family val="2"/>
        <charset val="1"/>
      </rPr>
      <t>ICF-R</t>
    </r>
    <r>
      <rPr>
        <sz val="11"/>
        <rFont val="Verdana"/>
        <family val="2"/>
        <charset val="1"/>
      </rPr>
      <t xml:space="preserve">, </t>
    </r>
    <r>
      <rPr>
        <sz val="11"/>
        <color rgb="FF0000FF"/>
        <rFont val="Verdana"/>
        <family val="2"/>
        <charset val="1"/>
      </rPr>
      <t>EVRAT</t>
    </r>
    <r>
      <rPr>
        <sz val="11"/>
        <rFont val="Verdana"/>
        <family val="2"/>
        <charset val="1"/>
      </rPr>
      <t xml:space="preserve">, </t>
    </r>
    <r>
      <rPr>
        <sz val="11"/>
        <color rgb="FF0000FF"/>
        <rFont val="Verdana"/>
        <family val="2"/>
        <charset val="1"/>
      </rPr>
      <t xml:space="preserve">EVRA </t>
    </r>
    <r>
      <rPr>
        <sz val="11"/>
        <rFont val="Verdana"/>
        <family val="2"/>
        <charset val="1"/>
      </rPr>
      <t>и</t>
    </r>
    <r>
      <rPr>
        <sz val="11"/>
        <color rgb="FF0000FF"/>
        <rFont val="Verdana"/>
        <family val="2"/>
        <charset val="1"/>
      </rPr>
      <t xml:space="preserve"> катушки</t>
    </r>
    <r>
      <rPr>
        <sz val="11"/>
        <rFont val="Verdana"/>
        <family val="2"/>
        <charset val="1"/>
      </rPr>
      <t>..........................</t>
    </r>
  </si>
  <si>
    <t xml:space="preserve">
Клапаны в обязательном порядке деклариртся по схеме 5д в соответствии с требованием
Технического регламента Таможенного союза «О безопасности машин и оборудования» 
(ТР ТС 010/2011), что позволяет использовать их на опасных производственных объектах.</t>
  </si>
  <si>
    <r>
      <rPr>
        <sz val="11"/>
        <rFont val="Verdana"/>
        <family val="2"/>
        <charset val="1"/>
      </rPr>
      <t>Двухступенчатые электромагнитные клапаны</t>
    </r>
    <r>
      <rPr>
        <sz val="11"/>
        <color rgb="FF0000FF"/>
        <rFont val="Verdana"/>
        <family val="2"/>
        <charset val="1"/>
      </rPr>
      <t xml:space="preserve"> ICLX-R</t>
    </r>
    <r>
      <rPr>
        <sz val="11"/>
        <rFont val="Verdana"/>
        <family val="2"/>
        <charset val="1"/>
      </rPr>
      <t>...................................</t>
    </r>
  </si>
  <si>
    <r>
      <rPr>
        <sz val="11"/>
        <rFont val="Verdana"/>
        <family val="2"/>
        <charset val="1"/>
      </rPr>
      <t xml:space="preserve">Двухступенчатые электромагнитные клапаны </t>
    </r>
    <r>
      <rPr>
        <sz val="11"/>
        <color rgb="FF0000FF"/>
        <rFont val="Verdana"/>
        <family val="2"/>
        <charset val="1"/>
      </rPr>
      <t>PMLX</t>
    </r>
    <r>
      <rPr>
        <sz val="11"/>
        <rFont val="Verdana"/>
        <family val="2"/>
        <charset val="1"/>
      </rPr>
      <t>.....................................</t>
    </r>
  </si>
  <si>
    <t>РЕГУЛЯТОРЫ ДАВЛЕНИЯ и ТЕМПЕРАТУРЫ</t>
  </si>
  <si>
    <t>Доступность, сервисная и техническая поддержка</t>
  </si>
  <si>
    <r>
      <rPr>
        <sz val="11"/>
        <rFont val="Verdana"/>
        <family val="2"/>
        <charset val="1"/>
      </rPr>
      <t xml:space="preserve">Клапаны регуляторы давления с пилотным управлением </t>
    </r>
    <r>
      <rPr>
        <sz val="11"/>
        <color rgb="FF0000FF"/>
        <rFont val="Verdana"/>
        <family val="2"/>
        <charset val="1"/>
      </rPr>
      <t>ICS-R</t>
    </r>
    <r>
      <rPr>
        <sz val="11"/>
        <rFont val="Verdana"/>
        <family val="2"/>
        <charset val="1"/>
      </rPr>
      <t>....................</t>
    </r>
  </si>
  <si>
    <r>
      <rPr>
        <sz val="11"/>
        <rFont val="Verdana"/>
        <family val="2"/>
        <charset val="1"/>
      </rPr>
      <t xml:space="preserve">Клапаны регуляторы давления с пилотным управлением </t>
    </r>
    <r>
      <rPr>
        <sz val="11"/>
        <color rgb="FF0000FF"/>
        <rFont val="Verdana"/>
        <family val="2"/>
        <charset val="1"/>
      </rPr>
      <t>PM</t>
    </r>
    <r>
      <rPr>
        <sz val="11"/>
        <rFont val="Verdana"/>
        <family val="2"/>
        <charset val="1"/>
      </rPr>
      <t>........................</t>
    </r>
  </si>
  <si>
    <r>
      <rPr>
        <sz val="11"/>
        <rFont val="Verdana"/>
        <family val="2"/>
        <charset val="1"/>
      </rPr>
      <t xml:space="preserve">Пилотные клапаны </t>
    </r>
    <r>
      <rPr>
        <sz val="11"/>
        <color rgb="FF0000FF"/>
        <rFont val="Verdana"/>
        <family val="2"/>
        <charset val="1"/>
      </rPr>
      <t>CVP</t>
    </r>
    <r>
      <rPr>
        <sz val="11"/>
        <rFont val="Verdana"/>
        <family val="2"/>
        <charset val="1"/>
      </rPr>
      <t xml:space="preserve">, </t>
    </r>
    <r>
      <rPr>
        <sz val="11"/>
        <color rgb="FF0000FF"/>
        <rFont val="Verdana"/>
        <family val="2"/>
        <charset val="1"/>
      </rPr>
      <t>CVC</t>
    </r>
    <r>
      <rPr>
        <sz val="11"/>
        <rFont val="Verdana"/>
        <family val="2"/>
        <charset val="1"/>
      </rPr>
      <t xml:space="preserve">, </t>
    </r>
    <r>
      <rPr>
        <sz val="11"/>
        <color rgb="FF0000FF"/>
        <rFont val="Verdana"/>
        <family val="2"/>
        <charset val="1"/>
      </rPr>
      <t>CVPP</t>
    </r>
    <r>
      <rPr>
        <sz val="11"/>
        <rFont val="Verdana"/>
        <family val="2"/>
        <charset val="1"/>
      </rPr>
      <t xml:space="preserve">, </t>
    </r>
    <r>
      <rPr>
        <sz val="11"/>
        <color rgb="FF0000FF"/>
        <rFont val="Verdana"/>
        <family val="2"/>
        <charset val="1"/>
      </rPr>
      <t>EVM</t>
    </r>
    <r>
      <rPr>
        <sz val="11"/>
        <rFont val="Verdana"/>
        <family val="2"/>
        <charset val="1"/>
      </rPr>
      <t>......................................................</t>
    </r>
  </si>
  <si>
    <r>
      <rPr>
        <sz val="11"/>
        <rFont val="Verdana"/>
        <family val="2"/>
        <charset val="1"/>
      </rPr>
      <t xml:space="preserve">Клапаны регуляторы давления </t>
    </r>
    <r>
      <rPr>
        <sz val="11"/>
        <color rgb="FF0000FF"/>
        <rFont val="Verdana"/>
        <family val="2"/>
        <charset val="1"/>
      </rPr>
      <t>OFV..</t>
    </r>
    <r>
      <rPr>
        <sz val="11"/>
        <rFont val="Verdana"/>
        <family val="2"/>
        <charset val="1"/>
      </rPr>
      <t>............................................................</t>
    </r>
  </si>
  <si>
    <r>
      <rPr>
        <sz val="11"/>
        <rFont val="Verdana"/>
        <family val="2"/>
        <charset val="1"/>
      </rPr>
      <t xml:space="preserve">Регулятор температуры масла </t>
    </r>
    <r>
      <rPr>
        <sz val="11"/>
        <color rgb="FF0000FF"/>
        <rFont val="Verdana"/>
        <family val="2"/>
        <charset val="1"/>
      </rPr>
      <t>ORV</t>
    </r>
    <r>
      <rPr>
        <sz val="11"/>
        <rFont val="Verdana"/>
        <family val="2"/>
        <charset val="1"/>
      </rPr>
      <t>...............................................................</t>
    </r>
  </si>
  <si>
    <t xml:space="preserve">КОНТРОЛЬ УРОВНЯ ЖИДКОСТИ </t>
  </si>
  <si>
    <r>
      <rPr>
        <sz val="11"/>
        <rFont val="Verdana"/>
        <family val="2"/>
        <charset val="1"/>
      </rPr>
      <t xml:space="preserve">Реле уровня жидкости </t>
    </r>
    <r>
      <rPr>
        <sz val="11"/>
        <color rgb="FF0000FF"/>
        <rFont val="Verdana"/>
        <family val="2"/>
        <charset val="1"/>
      </rPr>
      <t>ELS</t>
    </r>
    <r>
      <rPr>
        <sz val="11"/>
        <rFont val="Verdana"/>
        <family val="2"/>
        <charset val="1"/>
      </rPr>
      <t>............................................................................</t>
    </r>
  </si>
  <si>
    <r>
      <rPr>
        <sz val="11"/>
        <rFont val="Verdana"/>
        <family val="2"/>
        <charset val="1"/>
      </rPr>
      <t xml:space="preserve">Смотровые стекла </t>
    </r>
    <r>
      <rPr>
        <sz val="11"/>
        <color rgb="FF0000FF"/>
        <rFont val="Verdana"/>
        <family val="2"/>
        <charset val="1"/>
      </rPr>
      <t>LLG-R</t>
    </r>
    <r>
      <rPr>
        <sz val="11"/>
        <rFont val="Verdana"/>
        <family val="2"/>
        <charset val="1"/>
      </rPr>
      <t xml:space="preserve"> и </t>
    </r>
    <r>
      <rPr>
        <sz val="11"/>
        <color rgb="FF0000FF"/>
        <rFont val="Verdana"/>
        <family val="2"/>
        <charset val="1"/>
      </rPr>
      <t>SG-R</t>
    </r>
    <r>
      <rPr>
        <sz val="11"/>
        <rFont val="Verdana"/>
        <family val="2"/>
        <charset val="1"/>
      </rPr>
      <t>...................................................................</t>
    </r>
  </si>
  <si>
    <t>Будьте в курсе новостей холодильной отрасли!</t>
  </si>
  <si>
    <t>ПРЕДОХРАНИТЕЛЬНЫЕ КЛАПАНЫ</t>
  </si>
  <si>
    <r>
      <rPr>
        <sz val="11"/>
        <rFont val="Verdana"/>
        <family val="2"/>
        <charset val="1"/>
      </rPr>
      <t xml:space="preserve">Предохранительные клапаны </t>
    </r>
    <r>
      <rPr>
        <sz val="11"/>
        <color rgb="FF0000FF"/>
        <rFont val="Verdana"/>
        <family val="2"/>
        <charset val="1"/>
      </rPr>
      <t>SFV-R</t>
    </r>
    <r>
      <rPr>
        <sz val="11"/>
        <rFont val="Verdana"/>
        <family val="2"/>
        <charset val="1"/>
      </rPr>
      <t>.............................................................</t>
    </r>
  </si>
  <si>
    <t>Telegram</t>
  </si>
  <si>
    <t>Дзен</t>
  </si>
  <si>
    <r>
      <rPr>
        <sz val="11"/>
        <rFont val="Verdana"/>
        <family val="2"/>
        <charset val="1"/>
      </rPr>
      <t xml:space="preserve">Переключающее устройство </t>
    </r>
    <r>
      <rPr>
        <sz val="11"/>
        <color rgb="FF0000FF"/>
        <rFont val="Verdana"/>
        <family val="2"/>
        <charset val="1"/>
      </rPr>
      <t>DSV</t>
    </r>
    <r>
      <rPr>
        <sz val="11"/>
        <rFont val="Verdana"/>
        <family val="2"/>
        <charset val="1"/>
      </rPr>
      <t>.................................................................</t>
    </r>
  </si>
  <si>
    <t>Территория  профессионалов 
в области холода</t>
  </si>
  <si>
    <t xml:space="preserve"> Эксперный видео контент 
для инженеров</t>
  </si>
  <si>
    <t>МОТОРНЫЕ КЛАПАНЫ и ПРИВОДЫ</t>
  </si>
  <si>
    <r>
      <rPr>
        <sz val="11"/>
        <rFont val="Verdana"/>
        <family val="2"/>
        <charset val="1"/>
      </rPr>
      <t xml:space="preserve">Приводы электрические </t>
    </r>
    <r>
      <rPr>
        <sz val="11"/>
        <color rgb="FF0000FF"/>
        <rFont val="Verdana"/>
        <family val="2"/>
        <charset val="1"/>
      </rPr>
      <t>ICAD-R</t>
    </r>
    <r>
      <rPr>
        <sz val="11"/>
        <rFont val="Verdana"/>
        <family val="2"/>
        <charset val="1"/>
      </rPr>
      <t>.....................................................................</t>
    </r>
  </si>
  <si>
    <t>ЗАПАСНЫЕ ЧАСТИ и АКСЕССУАРЫ</t>
  </si>
  <si>
    <t>Запасные части и аксессуары.......................................................................</t>
  </si>
  <si>
    <t>Компания «Ридан» не несет ответственности за опечатки, а также оставляет за собой право на модернизацию своей продукции без предварительного оповещения. Это относится также к уже заказанным изделиям при условии, что такие изменения не повлекут за собой последующих корректировок уже согласованных спецификаций. Все торговые марки упомянутые в этом издании являются собственностью соответствующих компаний. «Ридан», логотип «Ридан» являются торговыми марками компании «Ридан». Все права защищены.</t>
  </si>
  <si>
    <t xml:space="preserve">Прайс-лист </t>
  </si>
  <si>
    <t xml:space="preserve">  Промышленная холодильная арматура и компоненты РИДАН</t>
  </si>
  <si>
    <t>Калькулятор расчета стоимости</t>
  </si>
  <si>
    <t>Основные технические характеристики</t>
  </si>
  <si>
    <t>Для использования прайс-листа вставьте в столбец "А" (кодовый номер) перечень артикулов</t>
  </si>
  <si>
    <t>Для расчета стоимости перечня оборудования:</t>
  </si>
  <si>
    <t>Склад</t>
  </si>
  <si>
    <t>1 - Укажите необходимое количество в столбец "Е" (кол-во)</t>
  </si>
  <si>
    <t>Подробные технические характеристики доступны в Каталоге (Скачать Каталог)</t>
  </si>
  <si>
    <t>●</t>
  </si>
  <si>
    <t xml:space="preserve"> - поддерживается на складе в достаточном количестве </t>
  </si>
  <si>
    <t xml:space="preserve">2 - Укажите размер договорной скидки на группу товаров в ячейку "H7" </t>
  </si>
  <si>
    <t>◑</t>
  </si>
  <si>
    <t xml:space="preserve"> - поддерживается на складе в ограниченном количестве </t>
  </si>
  <si>
    <t>3 - Укажите актуальный курс в ячейку  "I7" (курс)</t>
  </si>
  <si>
    <t xml:space="preserve">Задать технический вопрос на онлайн площадке Community  </t>
  </si>
  <si>
    <t>○</t>
  </si>
  <si>
    <t xml:space="preserve"> - не поддерживается на складе. Под заказ</t>
  </si>
  <si>
    <t>Группа скидок</t>
  </si>
  <si>
    <t>Размер скидки</t>
  </si>
  <si>
    <t xml:space="preserve">Курс </t>
  </si>
  <si>
    <t>U6 PL40R</t>
  </si>
  <si>
    <t>Онлайн переподбор оборудования Данфосс на РИДАН</t>
  </si>
  <si>
    <t>Кодовый номер</t>
  </si>
  <si>
    <t xml:space="preserve">Наименование </t>
  </si>
  <si>
    <t>Цена без НДС, KZT</t>
  </si>
  <si>
    <t>Цена с НДС, KZT</t>
  </si>
  <si>
    <t>Кол-во</t>
  </si>
  <si>
    <t>Сумма со скидкой без НДС, KZTу.е</t>
  </si>
  <si>
    <t>Сумма со скидкой с НДС, KZTу.е</t>
  </si>
  <si>
    <t>Сумма со скидкой с НДС, KZTруб</t>
  </si>
  <si>
    <t>СКЛАД</t>
  </si>
  <si>
    <t>DN</t>
  </si>
  <si>
    <t>МРД, 
бар изб.</t>
  </si>
  <si>
    <t>Рабочая температура, °С</t>
  </si>
  <si>
    <t>Рабочая среда</t>
  </si>
  <si>
    <t>Присоединения</t>
  </si>
  <si>
    <t xml:space="preserve"> -</t>
  </si>
  <si>
    <t>Клапаны регуляторы универсальные (клапанные станции)</t>
  </si>
  <si>
    <t xml:space="preserve">Клапанная станция ICF-R объединяет в одном корпусе функционал нескольких устройств и может стать альтернативой традиционной сборке, включающей запорные, регулирующие, обратные и электромагнитные клапаны, а также сетчатые фильтры.
Преимущества применения клапанных станций
   -  Снижение количество сварных швов в 4-6 раз
   -  Сокращение времени и стоимости на монтажных работах
   -  Снижение количество потерь хладагента при проведении сервисных работ
   -  Снижение металлоемкости распределительных устройств и конструкции </t>
  </si>
  <si>
    <t xml:space="preserve">Конфигурация функциональных модулей </t>
  </si>
  <si>
    <t>Тип</t>
  </si>
  <si>
    <t>Присоединение</t>
  </si>
  <si>
    <t xml:space="preserve">Кол-во модулей </t>
  </si>
  <si>
    <t>M1</t>
  </si>
  <si>
    <t>M2</t>
  </si>
  <si>
    <t>M3</t>
  </si>
  <si>
    <t>M4</t>
  </si>
  <si>
    <t>M5</t>
  </si>
  <si>
    <t>M6</t>
  </si>
  <si>
    <t>МРД,
 бар изб.</t>
  </si>
  <si>
    <t>Открывающий перепад, бар</t>
  </si>
  <si>
    <t>Пропускная
способность
(Kv), м3/ч</t>
  </si>
  <si>
    <t>002W115R</t>
  </si>
  <si>
    <r>
      <rPr>
        <sz val="9"/>
        <rFont val="Verdana"/>
        <family val="2"/>
        <charset val="1"/>
      </rPr>
      <t>ICF</t>
    </r>
    <r>
      <rPr>
        <sz val="9"/>
        <color rgb="FF0000FF"/>
        <rFont val="Verdana"/>
        <family val="2"/>
        <charset val="1"/>
      </rPr>
      <t>ET</t>
    </r>
    <r>
      <rPr>
        <sz val="9"/>
        <rFont val="Verdana"/>
        <family val="2"/>
        <charset val="1"/>
      </rPr>
      <t>-R модуль 
электромаг. клапана</t>
    </r>
  </si>
  <si>
    <r>
      <rPr>
        <sz val="9"/>
        <rFont val="Verdana"/>
        <family val="2"/>
        <charset val="1"/>
      </rPr>
      <t>ICF</t>
    </r>
    <r>
      <rPr>
        <sz val="9"/>
        <color rgb="FF0000FF"/>
        <rFont val="Verdana"/>
        <family val="2"/>
        <charset val="1"/>
      </rPr>
      <t>O</t>
    </r>
    <r>
      <rPr>
        <sz val="9"/>
        <rFont val="Verdana"/>
        <family val="2"/>
        <charset val="1"/>
      </rPr>
      <t>-R модуль ручного открытия</t>
    </r>
  </si>
  <si>
    <t>002W120R</t>
  </si>
  <si>
    <t>004W125R</t>
  </si>
  <si>
    <r>
      <rPr>
        <sz val="9"/>
        <rFont val="Verdana"/>
        <family val="2"/>
        <charset val="1"/>
      </rPr>
      <t>ICF</t>
    </r>
    <r>
      <rPr>
        <sz val="9"/>
        <color rgb="FF0000FF"/>
        <rFont val="Verdana"/>
        <family val="2"/>
        <charset val="1"/>
      </rPr>
      <t>S</t>
    </r>
    <r>
      <rPr>
        <sz val="9"/>
        <rFont val="Verdana"/>
        <family val="2"/>
        <charset val="1"/>
      </rPr>
      <t>-R модуль запорного клапана</t>
    </r>
  </si>
  <si>
    <r>
      <rPr>
        <sz val="9"/>
        <rFont val="Verdana"/>
        <family val="2"/>
        <charset val="1"/>
      </rPr>
      <t>ICF</t>
    </r>
    <r>
      <rPr>
        <sz val="9"/>
        <color rgb="FF0000FF"/>
        <rFont val="Verdana"/>
        <family val="2"/>
        <charset val="1"/>
      </rPr>
      <t>F</t>
    </r>
    <r>
      <rPr>
        <sz val="9"/>
        <rFont val="Verdana"/>
        <family val="2"/>
        <charset val="1"/>
      </rPr>
      <t>-R модуль сетчатого фильтра</t>
    </r>
  </si>
  <si>
    <r>
      <rPr>
        <sz val="9"/>
        <rFont val="Verdana"/>
        <family val="2"/>
        <charset val="1"/>
      </rPr>
      <t>ICF</t>
    </r>
    <r>
      <rPr>
        <sz val="9"/>
        <color rgb="FF0000FF"/>
        <rFont val="Verdana"/>
        <family val="2"/>
        <charset val="1"/>
      </rPr>
      <t>E</t>
    </r>
    <r>
      <rPr>
        <sz val="9"/>
        <rFont val="Verdana"/>
        <family val="2"/>
        <charset val="1"/>
      </rPr>
      <t>-R модуль 
электромаг. клапана</t>
    </r>
  </si>
  <si>
    <r>
      <rPr>
        <sz val="9"/>
        <rFont val="Verdana"/>
        <family val="2"/>
        <charset val="1"/>
      </rPr>
      <t>ICF</t>
    </r>
    <r>
      <rPr>
        <sz val="9"/>
        <color rgb="FF0000FF"/>
        <rFont val="Verdana"/>
        <family val="2"/>
        <charset val="1"/>
      </rPr>
      <t>S</t>
    </r>
    <r>
      <rPr>
        <sz val="9"/>
        <rFont val="Verdana"/>
        <family val="2"/>
        <charset val="1"/>
      </rPr>
      <t>-R модуль 
запорного клапана</t>
    </r>
  </si>
  <si>
    <t>004W132R</t>
  </si>
  <si>
    <t>004W140R</t>
  </si>
  <si>
    <t>004W325R</t>
  </si>
  <si>
    <r>
      <rPr>
        <sz val="9"/>
        <rFont val="Verdana"/>
        <family val="2"/>
        <charset val="1"/>
      </rPr>
      <t>ICF</t>
    </r>
    <r>
      <rPr>
        <sz val="9"/>
        <color rgb="FF0000FF"/>
        <rFont val="Verdana"/>
        <family val="2"/>
        <charset val="1"/>
      </rPr>
      <t>R</t>
    </r>
    <r>
      <rPr>
        <sz val="9"/>
        <rFont val="Verdana"/>
        <family val="2"/>
        <charset val="1"/>
      </rPr>
      <t>-R модуль 
регул. клапана</t>
    </r>
  </si>
  <si>
    <t>004W332R</t>
  </si>
  <si>
    <t>004W340R</t>
  </si>
  <si>
    <t>004W725R</t>
  </si>
  <si>
    <r>
      <rPr>
        <sz val="9"/>
        <rFont val="Verdana"/>
        <family val="2"/>
        <charset val="1"/>
      </rPr>
      <t>ICF</t>
    </r>
    <r>
      <rPr>
        <sz val="9"/>
        <color rgb="FF0000FF"/>
        <rFont val="Verdana"/>
        <family val="2"/>
        <charset val="1"/>
      </rPr>
      <t>N</t>
    </r>
    <r>
      <rPr>
        <sz val="9"/>
        <rFont val="Verdana"/>
        <family val="2"/>
        <charset val="1"/>
      </rPr>
      <t>-R модуль обратно-запорного клапана</t>
    </r>
  </si>
  <si>
    <t>004W732R</t>
  </si>
  <si>
    <t>004W740R</t>
  </si>
  <si>
    <t>004W525R</t>
  </si>
  <si>
    <r>
      <rPr>
        <sz val="9"/>
        <rFont val="Verdana"/>
        <family val="2"/>
        <charset val="1"/>
      </rPr>
      <t>ICF</t>
    </r>
    <r>
      <rPr>
        <sz val="9"/>
        <color rgb="FF0000FF"/>
        <rFont val="Verdana"/>
        <family val="2"/>
        <charset val="1"/>
      </rPr>
      <t>C</t>
    </r>
    <r>
      <rPr>
        <sz val="9"/>
        <rFont val="Verdana"/>
        <family val="2"/>
        <charset val="1"/>
      </rPr>
      <t>-R модуль 
обратного клапана</t>
    </r>
  </si>
  <si>
    <t>004W532R</t>
  </si>
  <si>
    <t>004W540R</t>
  </si>
  <si>
    <t>006W125R</t>
  </si>
  <si>
    <t>006W132R</t>
  </si>
  <si>
    <t>006W140R</t>
  </si>
  <si>
    <t xml:space="preserve"> Электромагнитная катушка заказывается отдельно</t>
  </si>
  <si>
    <t>Электромагнитная катушка</t>
  </si>
  <si>
    <t>Напряжение, B</t>
  </si>
  <si>
    <t>Частота, Гц</t>
  </si>
  <si>
    <t xml:space="preserve">Ток </t>
  </si>
  <si>
    <t>Мощность,
Вт</t>
  </si>
  <si>
    <t>Электрический
разъем</t>
  </si>
  <si>
    <t>Цена без НДС, KZTKZT</t>
  </si>
  <si>
    <t>Цена с НДС, KZTKZT</t>
  </si>
  <si>
    <t>018F6801R</t>
  </si>
  <si>
    <t>Перем. Ток</t>
  </si>
  <si>
    <t>DIN 43560</t>
  </si>
  <si>
    <t>018F6802R</t>
  </si>
  <si>
    <t>018F6905R</t>
  </si>
  <si>
    <t>DIN 43561</t>
  </si>
  <si>
    <t xml:space="preserve">Ручные запорные клапаны </t>
  </si>
  <si>
    <t>Размеры присоединительных патрубков 
под сварку встык</t>
  </si>
  <si>
    <t>Запорные клапаны типа SVA предназначены для полного перекрытия потока рабочей среды, движущейся по трубопроводу. Клапаны выпускаются в угловом и прямоточном исполнении и поставляются в комплекте с колпачком и маховиком.
Клапаны удовлетворяют всем требованиям, предъявляемым к запорному оборудованию для промышленных холодильных установок.</t>
  </si>
  <si>
    <t>Прямые запорные клапаны</t>
  </si>
  <si>
    <t>№</t>
  </si>
  <si>
    <t>DIN</t>
  </si>
  <si>
    <t>GOST</t>
  </si>
  <si>
    <t xml:space="preserve">Исполнение </t>
  </si>
  <si>
    <t>OD, mm</t>
  </si>
  <si>
    <t>T, mm</t>
  </si>
  <si>
    <t>148B1015R</t>
  </si>
  <si>
    <t>148B1020R</t>
  </si>
  <si>
    <t>148B1025R</t>
  </si>
  <si>
    <t>148B1032R</t>
  </si>
  <si>
    <t>148B1040R</t>
  </si>
  <si>
    <t>148B1050R</t>
  </si>
  <si>
    <t>148B1065R</t>
  </si>
  <si>
    <t>148B1080R</t>
  </si>
  <si>
    <t>148B1100R</t>
  </si>
  <si>
    <t>146B1100R</t>
  </si>
  <si>
    <t>148C1100R</t>
  </si>
  <si>
    <t>146C1100R</t>
  </si>
  <si>
    <t>148B1125R</t>
  </si>
  <si>
    <t>146B1125R</t>
  </si>
  <si>
    <t>148C1125R</t>
  </si>
  <si>
    <t>146C1125R</t>
  </si>
  <si>
    <t>148B1150R</t>
  </si>
  <si>
    <t>146B1150R</t>
  </si>
  <si>
    <t>148C1150R</t>
  </si>
  <si>
    <t>146C1150R</t>
  </si>
  <si>
    <t>148C1200R</t>
  </si>
  <si>
    <t>Угловые запорные клапаны</t>
  </si>
  <si>
    <t>148B2015R</t>
  </si>
  <si>
    <t>148B2020R</t>
  </si>
  <si>
    <t>148B2025R</t>
  </si>
  <si>
    <t>148B2032R</t>
  </si>
  <si>
    <t>148B2040R</t>
  </si>
  <si>
    <t>148B2050R</t>
  </si>
  <si>
    <t>148B2065R</t>
  </si>
  <si>
    <t>148B2080R</t>
  </si>
  <si>
    <t>148B2100R</t>
  </si>
  <si>
    <t>146B2100R</t>
  </si>
  <si>
    <t>148C2100R</t>
  </si>
  <si>
    <t>146C2100R</t>
  </si>
  <si>
    <t>148B2125R</t>
  </si>
  <si>
    <t>146B2125R</t>
  </si>
  <si>
    <t>148C2125R</t>
  </si>
  <si>
    <t>146C2125R</t>
  </si>
  <si>
    <t>148B2150R</t>
  </si>
  <si>
    <t>146B2150R</t>
  </si>
  <si>
    <t>148C2150R</t>
  </si>
  <si>
    <t>146C2150R</t>
  </si>
  <si>
    <t>148C2200R</t>
  </si>
  <si>
    <t>148C2250R</t>
  </si>
  <si>
    <t>148C2300R</t>
  </si>
  <si>
    <t>148C2350R</t>
  </si>
  <si>
    <t>Запасные части и аксессуары</t>
  </si>
  <si>
    <t>Кодовый
номер</t>
  </si>
  <si>
    <t>Позиция на рис.</t>
  </si>
  <si>
    <t>148Z4153R</t>
  </si>
  <si>
    <t>148Z4154R</t>
  </si>
  <si>
    <t>148Z4155R</t>
  </si>
  <si>
    <t>148Z4156R</t>
  </si>
  <si>
    <t>148Z4157R</t>
  </si>
  <si>
    <t>148Z4158R</t>
  </si>
  <si>
    <t>148Z4159R</t>
  </si>
  <si>
    <t>148Z4160R</t>
  </si>
  <si>
    <t>148Z4161R</t>
  </si>
  <si>
    <t>148Z4162R</t>
  </si>
  <si>
    <t>148Z4163R</t>
  </si>
  <si>
    <t>148Z4253R</t>
  </si>
  <si>
    <t>8,9,10</t>
  </si>
  <si>
    <t>148Z4254R</t>
  </si>
  <si>
    <t>148Z4255R</t>
  </si>
  <si>
    <t>148Z4256R</t>
  </si>
  <si>
    <t>148Z4257R</t>
  </si>
  <si>
    <t>148Z4258R</t>
  </si>
  <si>
    <t>148Z6151R</t>
  </si>
  <si>
    <t>7,11,12,13</t>
  </si>
  <si>
    <t>148Z6152R</t>
  </si>
  <si>
    <t>148Z6153R</t>
  </si>
  <si>
    <t>148Z6154R</t>
  </si>
  <si>
    <t>148Z6155R</t>
  </si>
  <si>
    <t>148Z6156R</t>
  </si>
  <si>
    <t>148Z6157R</t>
  </si>
  <si>
    <t>148Z6158R</t>
  </si>
  <si>
    <t>148Z6159R</t>
  </si>
  <si>
    <t>148Z6160R</t>
  </si>
  <si>
    <t>148Z6161R</t>
  </si>
  <si>
    <t>148Z6162R</t>
  </si>
  <si>
    <t>148Z4074R</t>
  </si>
  <si>
    <t>148Z4075R</t>
  </si>
  <si>
    <t>148Z4076R</t>
  </si>
  <si>
    <t>148Z4077R</t>
  </si>
  <si>
    <t>148Z4078R</t>
  </si>
  <si>
    <t>148Z4079R</t>
  </si>
  <si>
    <t>148Z4170R</t>
  </si>
  <si>
    <t>148Z4171R</t>
  </si>
  <si>
    <t>148Z4172R</t>
  </si>
  <si>
    <t>148Z4173R</t>
  </si>
  <si>
    <t>148Z4174R</t>
  </si>
  <si>
    <t>148Z4175R</t>
  </si>
  <si>
    <t>148Z4176R</t>
  </si>
  <si>
    <t>148Z4177R</t>
  </si>
  <si>
    <t>148Z4178R</t>
  </si>
  <si>
    <t>148Z4179R</t>
  </si>
  <si>
    <t>Быстроспускные запорные клапаны</t>
  </si>
  <si>
    <r>
      <rPr>
        <sz val="10"/>
        <rFont val="Verdana"/>
        <family val="2"/>
        <charset val="1"/>
      </rPr>
      <t xml:space="preserve">Клапаны запорные типа </t>
    </r>
    <r>
      <rPr>
        <b/>
        <sz val="10"/>
        <rFont val="Verdana"/>
        <family val="2"/>
        <charset val="1"/>
      </rPr>
      <t>SVA-Q</t>
    </r>
    <r>
      <rPr>
        <sz val="10"/>
        <rFont val="Verdana"/>
        <family val="2"/>
        <charset val="1"/>
      </rPr>
      <t xml:space="preserve"> имеют функцию быстрого открытия/закрытия и предназначены для слива масла из систем с хладагентом (аммиак и др.), находящихся под давлением. Таким образом, исключается случайный выброс хладагента в окружающую среду.
Клапаны удовлетворяют всем требованиям, предъявляемым к запорному оборудованию для промышленных холодильных установок.</t>
    </r>
  </si>
  <si>
    <t>149C2015R</t>
  </si>
  <si>
    <t>149C2020R</t>
  </si>
  <si>
    <t>Ручные регулирующие клапаны</t>
  </si>
  <si>
    <t>Ручные регулирующие клапаны типа REG предназначены для обеспечения качественного регулирования расхода рабочей среды. Клапаны выпускаются в угловом и прямоточном исполнении и поставляются в комплекте с колпачком и маховиком.
Клапаны удовлетворяют всем требованиям, предъявляемым к запорному оборудованию для промышленных холодильных установок.</t>
  </si>
  <si>
    <t>Прямые регулирующие клапаны</t>
  </si>
  <si>
    <t>148B3015R</t>
  </si>
  <si>
    <t>Прямой</t>
  </si>
  <si>
    <t>148B3020R</t>
  </si>
  <si>
    <t>148B3025R</t>
  </si>
  <si>
    <t>148B3032R</t>
  </si>
  <si>
    <t>148B3040R</t>
  </si>
  <si>
    <t>148B3050R</t>
  </si>
  <si>
    <t>148B3065R</t>
  </si>
  <si>
    <t>148B3080R</t>
  </si>
  <si>
    <t>Угловые регулирующие клапаны</t>
  </si>
  <si>
    <t>148B4015R</t>
  </si>
  <si>
    <t>Угловой</t>
  </si>
  <si>
    <t>148B4020R</t>
  </si>
  <si>
    <t>148B4025R</t>
  </si>
  <si>
    <t>148B4032R</t>
  </si>
  <si>
    <t>148B4040R</t>
  </si>
  <si>
    <t>148B4050R</t>
  </si>
  <si>
    <t>148B4065R</t>
  </si>
  <si>
    <t>148B4080R</t>
  </si>
  <si>
    <t xml:space="preserve">Обратные клапаны </t>
  </si>
  <si>
    <t>Обратные клапаны типа CHV пропускают рабочую среду в одно направлении и предотвращают её движения в обратном. Клапаны выпускаются в угловом и прямоточном исполнении.
Клапаны удовлетворяют всем требованиям, предъявляемым к запорному оборудованию для промышленных холодильных установок.</t>
  </si>
  <si>
    <t>Прямые обратные клапаны</t>
  </si>
  <si>
    <t>148B5015R</t>
  </si>
  <si>
    <t>148B5020R</t>
  </si>
  <si>
    <t>148B5025R</t>
  </si>
  <si>
    <t>148B5032R</t>
  </si>
  <si>
    <t>148B5040R</t>
  </si>
  <si>
    <t>148B5050R</t>
  </si>
  <si>
    <t>148B5065R</t>
  </si>
  <si>
    <t>148B5080R</t>
  </si>
  <si>
    <t>148B5100R</t>
  </si>
  <si>
    <t>146B5100R</t>
  </si>
  <si>
    <t>148C5100R</t>
  </si>
  <si>
    <t>146C5100R</t>
  </si>
  <si>
    <t>148B5125R</t>
  </si>
  <si>
    <t>146B5125R</t>
  </si>
  <si>
    <t>148C5125R</t>
  </si>
  <si>
    <t>146C5125R</t>
  </si>
  <si>
    <t>148B5150R</t>
  </si>
  <si>
    <t>146B5150R</t>
  </si>
  <si>
    <t>148C5150R</t>
  </si>
  <si>
    <t>146C5150R</t>
  </si>
  <si>
    <t>Угловые обратные клапаны</t>
  </si>
  <si>
    <t>148B6015R</t>
  </si>
  <si>
    <t>148B6020R</t>
  </si>
  <si>
    <t>148B6025R</t>
  </si>
  <si>
    <t>148B6032R</t>
  </si>
  <si>
    <t>148B6040R</t>
  </si>
  <si>
    <t>148B6050R</t>
  </si>
  <si>
    <t>148B6065R</t>
  </si>
  <si>
    <t>148B6080R</t>
  </si>
  <si>
    <t>148B6100R</t>
  </si>
  <si>
    <t>146B6100R</t>
  </si>
  <si>
    <t>148C6100R</t>
  </si>
  <si>
    <t>146C6100R</t>
  </si>
  <si>
    <t>148B6125R</t>
  </si>
  <si>
    <t>146B6125R</t>
  </si>
  <si>
    <t>148C6125R</t>
  </si>
  <si>
    <t>146C6125R</t>
  </si>
  <si>
    <t>148B6150R</t>
  </si>
  <si>
    <t>146B6150R</t>
  </si>
  <si>
    <t>148C6150R</t>
  </si>
  <si>
    <t>146C6150R</t>
  </si>
  <si>
    <t>Позиция на чертеже</t>
  </si>
  <si>
    <t xml:space="preserve">Обратно-запорные клапаны </t>
  </si>
  <si>
    <t>Обратно-запорные клапаны типа SCA пропускают рабочую среду в одном направлении и предотвращают её движения в обратном. Клапаны выпускаются в угловом и прямоточном исполнении, имеют встроенную запорную функцию и поставляются в комплекте с колпачком и маховиком.
Клапаны удовлетворяют всем требованиям, предъявляемым к запорному оборудованию для промышленных холодильных установок.</t>
  </si>
  <si>
    <t>Прямые обратно-запорные клапаны</t>
  </si>
  <si>
    <t>148B7015R</t>
  </si>
  <si>
    <t>148B7020R</t>
  </si>
  <si>
    <t>148B7025R</t>
  </si>
  <si>
    <t>148B7032R</t>
  </si>
  <si>
    <t>148B7040R</t>
  </si>
  <si>
    <t>148B7050R</t>
  </si>
  <si>
    <t>148B7065R</t>
  </si>
  <si>
    <t>148B7080R</t>
  </si>
  <si>
    <t>148B7100R</t>
  </si>
  <si>
    <t>146B7100R</t>
  </si>
  <si>
    <t>148C7100R</t>
  </si>
  <si>
    <t>146C7100R</t>
  </si>
  <si>
    <t>148B7125R</t>
  </si>
  <si>
    <t>146B7125R</t>
  </si>
  <si>
    <t>148C7125R</t>
  </si>
  <si>
    <t>146C7125R</t>
  </si>
  <si>
    <t>148B7150R</t>
  </si>
  <si>
    <t>146B7150R</t>
  </si>
  <si>
    <t>148C7150R</t>
  </si>
  <si>
    <t>146C7150R</t>
  </si>
  <si>
    <t>Угловые обратно-запорные клапаны</t>
  </si>
  <si>
    <t>148B8015R</t>
  </si>
  <si>
    <t>148B8020R</t>
  </si>
  <si>
    <t xml:space="preserve"> -60…120</t>
  </si>
  <si>
    <t>148B8025R</t>
  </si>
  <si>
    <t>148B8032R</t>
  </si>
  <si>
    <t>148B8040R</t>
  </si>
  <si>
    <t>148B8050R</t>
  </si>
  <si>
    <t>148B8065R</t>
  </si>
  <si>
    <t>148B8080R</t>
  </si>
  <si>
    <t>148B8100R</t>
  </si>
  <si>
    <t>146B8100R</t>
  </si>
  <si>
    <t>148C8100R</t>
  </si>
  <si>
    <t>146C8100R</t>
  </si>
  <si>
    <t>148B8125R</t>
  </si>
  <si>
    <t>146B8125R</t>
  </si>
  <si>
    <t>148C8125R</t>
  </si>
  <si>
    <t>146C8125R</t>
  </si>
  <si>
    <t>148B8150R</t>
  </si>
  <si>
    <t>146B8150R</t>
  </si>
  <si>
    <t>148C8150R</t>
  </si>
  <si>
    <t>146C8150R</t>
  </si>
  <si>
    <t xml:space="preserve">Описание </t>
  </si>
  <si>
    <t xml:space="preserve">Сетчатые фильтры </t>
  </si>
  <si>
    <t>Фильтрующие сетки</t>
  </si>
  <si>
    <t>Сетчатые фильтры типа FIA предназначены для очистки холодильной системы от различных механических объектов (частицы тяжелых металлов, грязи и ржавчины и т.д.).  Сетчатые фильтры уменьшают опасность повреждения холодильной установки и выхода из строя ее механизмов. Фильтры выпускаются в угловом и прямоточном исполнении и поставляются в комплекте с фильтрующей сеткой.</t>
  </si>
  <si>
    <t>Прямые сетчатые фильтры</t>
  </si>
  <si>
    <t>Пропускная способность с фильтрующей сеткой (Kv), м3/ч</t>
  </si>
  <si>
    <t>Фильтрующая сетка, мкм</t>
  </si>
  <si>
    <t>Совместимость с корпусом FIA</t>
  </si>
  <si>
    <t xml:space="preserve">Тип фильтрующей сетки, мкм </t>
  </si>
  <si>
    <t>148B9015R</t>
  </si>
  <si>
    <t>148H3122R</t>
  </si>
  <si>
    <t>148B9020R</t>
  </si>
  <si>
    <t>148H3124R</t>
  </si>
  <si>
    <t>148B9025R</t>
  </si>
  <si>
    <t>148H3126R</t>
  </si>
  <si>
    <t>148B9032R</t>
  </si>
  <si>
    <t>148H3128R</t>
  </si>
  <si>
    <t>148B9040R</t>
  </si>
  <si>
    <t>148H3123R</t>
  </si>
  <si>
    <t>148B9050R</t>
  </si>
  <si>
    <t>148H3125R</t>
  </si>
  <si>
    <t>148B9065R</t>
  </si>
  <si>
    <t>--</t>
  </si>
  <si>
    <t>148H3127R</t>
  </si>
  <si>
    <t>148B9080R</t>
  </si>
  <si>
    <t>148H3129R</t>
  </si>
  <si>
    <t>148B9100R</t>
  </si>
  <si>
    <t>148H3157R</t>
  </si>
  <si>
    <t>146B9100R</t>
  </si>
  <si>
    <t>148H3130R</t>
  </si>
  <si>
    <t>148C9100R</t>
  </si>
  <si>
    <t>148H3138R</t>
  </si>
  <si>
    <t>146C9100R</t>
  </si>
  <si>
    <t>148H3144R</t>
  </si>
  <si>
    <t>148B9125R</t>
  </si>
  <si>
    <t>148H3131R</t>
  </si>
  <si>
    <t>146B9125R</t>
  </si>
  <si>
    <t>148H3139R</t>
  </si>
  <si>
    <t>148C9125R</t>
  </si>
  <si>
    <t>148H3145R</t>
  </si>
  <si>
    <t>146C9125R</t>
  </si>
  <si>
    <t>148H3119R</t>
  </si>
  <si>
    <t>148B9150R</t>
  </si>
  <si>
    <t>148H3120R</t>
  </si>
  <si>
    <t>146B9150R</t>
  </si>
  <si>
    <t>148H3121R</t>
  </si>
  <si>
    <t>148C9150R</t>
  </si>
  <si>
    <t>148H3132R</t>
  </si>
  <si>
    <t>146C9150R</t>
  </si>
  <si>
    <t>148H3140R</t>
  </si>
  <si>
    <t>148H3146R</t>
  </si>
  <si>
    <t>148H3133R</t>
  </si>
  <si>
    <t>148H3141R</t>
  </si>
  <si>
    <t>148C9200R</t>
  </si>
  <si>
    <t>148H3147R</t>
  </si>
  <si>
    <t>148C9250R</t>
  </si>
  <si>
    <t>148H3134R</t>
  </si>
  <si>
    <t>Угловые сетчатые фильтры</t>
  </si>
  <si>
    <t>148H3142R</t>
  </si>
  <si>
    <t>148B0015R</t>
  </si>
  <si>
    <t>148H3148R</t>
  </si>
  <si>
    <t>148B0020R</t>
  </si>
  <si>
    <t>148H3135R</t>
  </si>
  <si>
    <t>148B0025R</t>
  </si>
  <si>
    <t>148H3143R</t>
  </si>
  <si>
    <t>148B0032R</t>
  </si>
  <si>
    <t>148H3149R</t>
  </si>
  <si>
    <t>148B0040R</t>
  </si>
  <si>
    <t>148H3136R</t>
  </si>
  <si>
    <t>148B0050R</t>
  </si>
  <si>
    <t>148H3175R</t>
  </si>
  <si>
    <t>148B0065R</t>
  </si>
  <si>
    <t>148B0080R</t>
  </si>
  <si>
    <t>148B0100R</t>
  </si>
  <si>
    <t>146B0100R</t>
  </si>
  <si>
    <t>148C0100R</t>
  </si>
  <si>
    <t>146C0100R</t>
  </si>
  <si>
    <t>148B0125R</t>
  </si>
  <si>
    <t>146B0125R</t>
  </si>
  <si>
    <t>148C0125R</t>
  </si>
  <si>
    <t>146C0125R</t>
  </si>
  <si>
    <t>148B0150R</t>
  </si>
  <si>
    <t>146B0150R</t>
  </si>
  <si>
    <t>148C0150R</t>
  </si>
  <si>
    <t>146C0150R</t>
  </si>
  <si>
    <t>148C0200R</t>
  </si>
  <si>
    <t>148C0250R</t>
  </si>
  <si>
    <t>Сервисные клапаны</t>
  </si>
  <si>
    <t>Клапаны запорные игольчатые типа SNV обладаю отличными гидравлическими характеристиками и предназначены для работы в качестве сервисных клапанов. 
Клапаны удовлетворяют всем требованиям, предъявляемым к запорному оборудованию для промышленных холодильных установок.</t>
  </si>
  <si>
    <t>Комплектация</t>
  </si>
  <si>
    <t xml:space="preserve">Вход </t>
  </si>
  <si>
    <t>Выход</t>
  </si>
  <si>
    <t>148B3769R</t>
  </si>
  <si>
    <t>G1/2”
(наруж. резьба)</t>
  </si>
  <si>
    <t>W 1/2"
(под приварку)</t>
  </si>
  <si>
    <t xml:space="preserve">Мультипак </t>
  </si>
  <si>
    <t>148B3768R</t>
  </si>
  <si>
    <t>148B3767R</t>
  </si>
  <si>
    <t>148B3740R</t>
  </si>
  <si>
    <t>148B3745R</t>
  </si>
  <si>
    <t>148B4568R</t>
  </si>
  <si>
    <t>FPT¼”
(внутр. резьба)</t>
  </si>
  <si>
    <t>148B3746R</t>
  </si>
  <si>
    <t>MPT¼"
(наруж. резьба)</t>
  </si>
  <si>
    <t xml:space="preserve">Комплектация мультипака </t>
  </si>
  <si>
    <t>Угловой запорный клапан SNV-L ANG G1/2-W1/2 (L=100 мм)</t>
  </si>
  <si>
    <t>5 штук</t>
  </si>
  <si>
    <t>Заглушка G1/2 (внутр. Резьба)</t>
  </si>
  <si>
    <t>Уплотнение заглушки</t>
  </si>
  <si>
    <t>Угловой запорный клапан  SNV-L ANG G1/2-W1/2 (L=100 мм)</t>
  </si>
  <si>
    <t>Ниппель под сварку DN 10</t>
  </si>
  <si>
    <t xml:space="preserve">Уплотнение ниппеля </t>
  </si>
  <si>
    <t>Ниппель под сварку DN 6</t>
  </si>
  <si>
    <t xml:space="preserve">Угловой запорный клапан SNV-S ANG G1/2-G 1/2 </t>
  </si>
  <si>
    <t>10 штук</t>
  </si>
  <si>
    <t>Угловой запорный клапан SNV-S STR G1/2-G 1/2</t>
  </si>
  <si>
    <t xml:space="preserve">Угловой запорный клапан типа  SNV-S ANG FPT¼"-FPT¼” </t>
  </si>
  <si>
    <t>Заглушка  MPT ¼"</t>
  </si>
  <si>
    <t>Угловой запорный клапан SNV-S ANG MPT¼"-FPT¼”</t>
  </si>
  <si>
    <t>Заглушка  FPT ¼"</t>
  </si>
  <si>
    <t>Электромагнитные клапаны</t>
  </si>
  <si>
    <t>Электромагнитные клапаны типа ICF-R и EVRА(T) — электромеханические устройства, предназначенные для открытия и перекрытия потока рабочей среды на линиях жидкости, влажного/сухого и горячего пара в холодильных установках.
Клапаны удовлетворяют всем требованиям, предъявляемым к  оборудованию для промышленных холодильных установок.</t>
  </si>
  <si>
    <t>Шток ручного открытия</t>
  </si>
  <si>
    <t>ICF-R 15-2</t>
  </si>
  <si>
    <t>Да</t>
  </si>
  <si>
    <t>ICF-R 20-2</t>
  </si>
  <si>
    <t>032F6214R</t>
  </si>
  <si>
    <t>032F6216R</t>
  </si>
  <si>
    <t>032F6221R</t>
  </si>
  <si>
    <t>032F6225R</t>
  </si>
  <si>
    <t>042H1126R</t>
  </si>
  <si>
    <t>Нет</t>
  </si>
  <si>
    <t>042H1128R</t>
  </si>
  <si>
    <t>042H1130R</t>
  </si>
  <si>
    <t>Клапаны поставляются в комплекте с ответными фланцами, включая болты и прокладочные уплотнения. Электромагнитная катушка заказывается отдельно</t>
  </si>
  <si>
    <t>027Z3072R</t>
  </si>
  <si>
    <t>027Z3073R</t>
  </si>
  <si>
    <t>032Z2208R</t>
  </si>
  <si>
    <t>027Z1120R</t>
  </si>
  <si>
    <t>Клапаны-регуляторы давления с пилотным управлением</t>
  </si>
  <si>
    <t>Размеры присоединительных патрубков 
под сварку встык и пайку</t>
  </si>
  <si>
    <t>Регуляторы давления с пилотным управлением типа ICS-R предназначены для регулирования расход хладагента по пропорциональному или двухпозиционному закону регулирования в зависимости от степени открытия пилотного и основного клапанов. Регулирующие функции клапана определяются установленными в него пилотными клапанами.</t>
  </si>
  <si>
    <t>Регуляторы давления с тремя пилотными портами</t>
  </si>
  <si>
    <t>DIN (сварка)</t>
  </si>
  <si>
    <t>SD (пайка)</t>
  </si>
  <si>
    <t>ID, mm</t>
  </si>
  <si>
    <t>L, mm</t>
  </si>
  <si>
    <t>027B3020R</t>
  </si>
  <si>
    <t>0,2 -0,3</t>
  </si>
  <si>
    <t>025B3020R</t>
  </si>
  <si>
    <t>0,2 -0,4</t>
  </si>
  <si>
    <t>027B3025R</t>
  </si>
  <si>
    <t>025B3025R</t>
  </si>
  <si>
    <t>027B3032R</t>
  </si>
  <si>
    <t>025B3032R</t>
  </si>
  <si>
    <t>027B3040R</t>
  </si>
  <si>
    <t>025B3040R</t>
  </si>
  <si>
    <t>027B3050R</t>
  </si>
  <si>
    <t>025B3050R</t>
  </si>
  <si>
    <t>027B3065R</t>
  </si>
  <si>
    <t>025B3065R</t>
  </si>
  <si>
    <t>027B3080R</t>
  </si>
  <si>
    <t>027B3100R</t>
  </si>
  <si>
    <t>027B3125R</t>
  </si>
  <si>
    <t>027B3150R</t>
  </si>
  <si>
    <t>Заглушка «А»</t>
  </si>
  <si>
    <t>Комплект №1
Ревизионный комплект прокладок</t>
  </si>
  <si>
    <t xml:space="preserve">Комплект №2
Функциональный модуль </t>
  </si>
  <si>
    <t>Комплект №3
Сальник с прокладками</t>
  </si>
  <si>
    <t>Заглушка «B»</t>
  </si>
  <si>
    <t>027F1045R</t>
  </si>
  <si>
    <t xml:space="preserve">11, 1 </t>
  </si>
  <si>
    <t>027F1046R</t>
  </si>
  <si>
    <t>12, 1, 2</t>
  </si>
  <si>
    <t>027Z3731R</t>
  </si>
  <si>
    <t>1,2,3,4,5</t>
  </si>
  <si>
    <t>027Z3732R</t>
  </si>
  <si>
    <t>027Z3733R</t>
  </si>
  <si>
    <t>027Z3734R</t>
  </si>
  <si>
    <t>027Z3735R</t>
  </si>
  <si>
    <t>027Z3736R</t>
  </si>
  <si>
    <t>027Z3737R</t>
  </si>
  <si>
    <t>027Z3020R</t>
  </si>
  <si>
    <r>
      <rPr>
        <sz val="10"/>
        <rFont val="Verdana"/>
        <family val="2"/>
        <charset val="1"/>
      </rPr>
      <t>1,2,3,4,5,</t>
    </r>
    <r>
      <rPr>
        <b/>
        <sz val="10"/>
        <rFont val="Verdana"/>
        <family val="2"/>
        <charset val="1"/>
      </rPr>
      <t>6</t>
    </r>
  </si>
  <si>
    <t>027Z3032R</t>
  </si>
  <si>
    <t>027Z3050R</t>
  </si>
  <si>
    <t>027Z3065R</t>
  </si>
  <si>
    <t>027Z3100R</t>
  </si>
  <si>
    <t>027Z3125R</t>
  </si>
  <si>
    <t>027Z3150R</t>
  </si>
  <si>
    <t>027Z4253R</t>
  </si>
  <si>
    <t>14,15,16,17</t>
  </si>
  <si>
    <t>027Z4254R</t>
  </si>
  <si>
    <t xml:space="preserve">Регуляторы давления с пилотным управлением типа PM предназначены для регулирования расход хладагента по пропорциональному или двухпозиционному закону регулирования в зависимости от степени открытия пилотного и основного клапанов. Регулирующие функции клапана определяются тем, какие типы пилотных клапанов с ним применяются. </t>
  </si>
  <si>
    <t>027F3020R</t>
  </si>
  <si>
    <t>026F3020R</t>
  </si>
  <si>
    <t>027F3025R</t>
  </si>
  <si>
    <t>026F3025R</t>
  </si>
  <si>
    <t>027F3032R</t>
  </si>
  <si>
    <t>026F3032R</t>
  </si>
  <si>
    <t>027F3040R</t>
  </si>
  <si>
    <t>026F3040R</t>
  </si>
  <si>
    <t>027F3050R</t>
  </si>
  <si>
    <t>026F3050R</t>
  </si>
  <si>
    <t>027F3065R</t>
  </si>
  <si>
    <t>027F3080R</t>
  </si>
  <si>
    <t>027F3100R</t>
  </si>
  <si>
    <t>026F3100R</t>
  </si>
  <si>
    <t>1, 11</t>
  </si>
  <si>
    <t>1,2,12</t>
  </si>
  <si>
    <t>027Z3074R</t>
  </si>
  <si>
    <t>027Z3075R</t>
  </si>
  <si>
    <t>027Z3076R</t>
  </si>
  <si>
    <t>027Z3077R</t>
  </si>
  <si>
    <t>027Z3078R</t>
  </si>
  <si>
    <t>Двухступенчатые электромагнитные клапаны</t>
  </si>
  <si>
    <t xml:space="preserve">Двухступенчатые электромагнитные клапаны типа ICLX-R устанавливаются на линиях возврата влажного или сухого пара и предназначены для повышения безопасности и энергоэффективности холодильной системы при оттаивании горячими парами. </t>
  </si>
  <si>
    <t>027B4032R</t>
  </si>
  <si>
    <t>027B4040R</t>
  </si>
  <si>
    <t>027B4050R</t>
  </si>
  <si>
    <t>027B4065R</t>
  </si>
  <si>
    <t>027B4080R</t>
  </si>
  <si>
    <t>027B4100R</t>
  </si>
  <si>
    <t>027B4125R</t>
  </si>
  <si>
    <t>027B4150R</t>
  </si>
  <si>
    <t xml:space="preserve">Комплектация </t>
  </si>
  <si>
    <t>Клапан ICLX-R</t>
  </si>
  <si>
    <t xml:space="preserve"> 1 шт.</t>
  </si>
  <si>
    <t>Электромагнитный пилотный клапан типа EVM-NC</t>
  </si>
  <si>
    <t>1 шт.</t>
  </si>
  <si>
    <t>Электромагнитный пилотный клапан типа EVM-NO</t>
  </si>
  <si>
    <t xml:space="preserve">Электромагнитная катушка типа BE230AS </t>
  </si>
  <si>
    <t>2 шт.</t>
  </si>
  <si>
    <t>Штуцер под приварку</t>
  </si>
  <si>
    <t>Аксессуары и запасные части</t>
  </si>
  <si>
    <t>027B1120R</t>
  </si>
  <si>
    <t>027B1130R</t>
  </si>
  <si>
    <t>Комплект №2
Функциональный модуль</t>
  </si>
  <si>
    <t>027Z4732R</t>
  </si>
  <si>
    <t>1,2,3,4,5,6,7,8</t>
  </si>
  <si>
    <t>027Z4733R</t>
  </si>
  <si>
    <t>027Z4734R</t>
  </si>
  <si>
    <t>027Z4735R</t>
  </si>
  <si>
    <t>027Z4736R</t>
  </si>
  <si>
    <t>027Z4737R</t>
  </si>
  <si>
    <t>027Z4032R</t>
  </si>
  <si>
    <r>
      <rPr>
        <sz val="10"/>
        <rFont val="Verdana"/>
        <family val="2"/>
        <charset val="1"/>
      </rPr>
      <t>1,2,3,4,5,6,7,8,</t>
    </r>
    <r>
      <rPr>
        <b/>
        <sz val="10"/>
        <rFont val="Verdana"/>
        <family val="2"/>
        <charset val="1"/>
      </rPr>
      <t>9</t>
    </r>
  </si>
  <si>
    <t>027Z4050R</t>
  </si>
  <si>
    <t>027Z4065R</t>
  </si>
  <si>
    <t>027Z4100R</t>
  </si>
  <si>
    <t>027Z4125R</t>
  </si>
  <si>
    <t>027Z4150R</t>
  </si>
  <si>
    <t>10,11,12,13</t>
  </si>
  <si>
    <t xml:space="preserve">Двухступенчатые электромагнитные клапаны типа PMLX устанавливаются на линиях возврата влажного или сухого пара и предназначены для повышения безопасности и энергоэффективности холодильной системы при оттаивании горячими парами. </t>
  </si>
  <si>
    <t>027F4032R</t>
  </si>
  <si>
    <t>027F4040R</t>
  </si>
  <si>
    <t>027F4050R</t>
  </si>
  <si>
    <t>027F4065R</t>
  </si>
  <si>
    <t>027F4080R</t>
  </si>
  <si>
    <t>027F4100R</t>
  </si>
  <si>
    <t>027F4125R</t>
  </si>
  <si>
    <t>28 бар  изб. - Максимальное рабочее давление при использовании с R717 (аммиак) в качестве рабочей среды.
30 бар  изб. - Максимальное рабочее давление при использовании с ГФУ и ГХФУ хладагентами в качестве рабочей среды.</t>
  </si>
  <si>
    <t>Клапан PMLX</t>
  </si>
  <si>
    <t>Ответный фланц, включая болты и прокладочные уплотнения (PMLX 32-100)</t>
  </si>
  <si>
    <t>Пилотные клапаны</t>
  </si>
  <si>
    <t>Пилотные клапаны устанавливаются на основные клапаны типа РМ или во внешнюю управляющую линию, используя корпус CVH. При этом во внешней управляющей линии они могут работать как независимые клапаны.</t>
  </si>
  <si>
    <t>Пилотный клапан для поддержания давления до себя</t>
  </si>
  <si>
    <t>Диапазон регулирования, бар</t>
  </si>
  <si>
    <t>027B0920R</t>
  </si>
  <si>
    <t>027B0921R</t>
  </si>
  <si>
    <t>027B0922R</t>
  </si>
  <si>
    <t xml:space="preserve">Пилотный клапан для поддержания перепада давления </t>
  </si>
  <si>
    <t>027B0930R</t>
  </si>
  <si>
    <t>Пилотный клапан для поддержания давления после себя</t>
  </si>
  <si>
    <t>027B0940R</t>
  </si>
  <si>
    <t xml:space="preserve">Электромагнитный пилотный клапан </t>
  </si>
  <si>
    <t>Корпус для пилотных клапанов</t>
  </si>
  <si>
    <t>027F1090R</t>
  </si>
  <si>
    <t>027F1091R</t>
  </si>
  <si>
    <t>027F1092R</t>
  </si>
  <si>
    <t xml:space="preserve">Запасные части </t>
  </si>
  <si>
    <t>Ревизионный набор прокладок</t>
  </si>
  <si>
    <t xml:space="preserve">Сердечник </t>
  </si>
  <si>
    <t xml:space="preserve">Колпачок </t>
  </si>
  <si>
    <t>027Z3071R</t>
  </si>
  <si>
    <t>1 и 2</t>
  </si>
  <si>
    <t>148B4576R</t>
  </si>
  <si>
    <t>4 и 5</t>
  </si>
  <si>
    <t>Клапаны-регуляторы давления для поддержания перепада давления</t>
  </si>
  <si>
    <t>Регуляторы давления OFV — это перепускные клапаны углового исполнения с регулирмым открывающим перепадом давления. Клапаны сочетает в себе три функции: регулирование перепада давления, обратного клапана и запорного клапана.</t>
  </si>
  <si>
    <t>2412+183R</t>
  </si>
  <si>
    <t>2412+184R</t>
  </si>
  <si>
    <t>2412+185R</t>
  </si>
  <si>
    <t>2412+186R</t>
  </si>
  <si>
    <t>Регулятор температуры масла</t>
  </si>
  <si>
    <t>Регуляторы ORV — трехходовые промышленные клапаны, предназначенные для поддержания постоянной температуры масла в газовых компрессорах, путем смешивания потоков горячего и холодного масла</t>
  </si>
  <si>
    <t>Корпус регулятора температуры</t>
  </si>
  <si>
    <t>148O4925R</t>
  </si>
  <si>
    <t>148O6025R</t>
  </si>
  <si>
    <t>145O4925R</t>
  </si>
  <si>
    <t>145O6025R</t>
  </si>
  <si>
    <t>148O4932R</t>
  </si>
  <si>
    <t>148O6032R</t>
  </si>
  <si>
    <t>145O4932R</t>
  </si>
  <si>
    <t>145O6032R</t>
  </si>
  <si>
    <t>148O4940R</t>
  </si>
  <si>
    <t>148O6040R</t>
  </si>
  <si>
    <t>145O4940R</t>
  </si>
  <si>
    <t>145O6040R</t>
  </si>
  <si>
    <t>148O4950R</t>
  </si>
  <si>
    <t>148O6050R</t>
  </si>
  <si>
    <t>145O4950R</t>
  </si>
  <si>
    <t>145O6050R</t>
  </si>
  <si>
    <t>148O4965R</t>
  </si>
  <si>
    <t>148O6065R</t>
  </si>
  <si>
    <t>145O4965R</t>
  </si>
  <si>
    <t>145O6065R</t>
  </si>
  <si>
    <t>148O4980R</t>
  </si>
  <si>
    <t>148O6080R</t>
  </si>
  <si>
    <t>148H3463R</t>
  </si>
  <si>
    <t>Термостат 49°C для ORV DN 25-50</t>
  </si>
  <si>
    <t>148H3469R</t>
  </si>
  <si>
    <t>Термостат 60°C для ORV DN 25-50</t>
  </si>
  <si>
    <t>148H3465R</t>
  </si>
  <si>
    <t>Термостат 49°C для ORV DN 65-80</t>
  </si>
  <si>
    <t>148H3471R</t>
  </si>
  <si>
    <t>Термостат 60°C для ORV DN 65-80</t>
  </si>
  <si>
    <t>148Z2532R</t>
  </si>
  <si>
    <t>Комплект прокладочных уплотнений для ORV DN 25-32</t>
  </si>
  <si>
    <t>148Z4050R</t>
  </si>
  <si>
    <t>Комплект прокладочных уплотнений для ORV DN 40-50</t>
  </si>
  <si>
    <t>148Z6580R</t>
  </si>
  <si>
    <t>Комплект прокладочных уплотнений для ORV DN 65-80</t>
  </si>
  <si>
    <t>Реле уровня жидкости</t>
  </si>
  <si>
    <r>
      <rPr>
        <sz val="10"/>
        <rFont val="Verdana"/>
        <family val="2"/>
        <charset val="1"/>
      </rPr>
      <t xml:space="preserve">Электронное реле уровня жидкости типа </t>
    </r>
    <r>
      <rPr>
        <b/>
        <sz val="10"/>
        <rFont val="Verdana"/>
        <family val="2"/>
        <charset val="1"/>
      </rPr>
      <t>ELS</t>
    </r>
    <r>
      <rPr>
        <sz val="10"/>
        <rFont val="Verdana"/>
        <family val="2"/>
        <charset val="1"/>
      </rPr>
      <t xml:space="preserve">  предназначено для обеспечения надёжного отклика на изменения уровня жидкости в холодильных системах, путем отслеживания фазового состояния (жидкое или газообразное) хладагента с помощью чувствительного элемента
 - Широкий диапазон применения
 - Точность определения уровня
 - Корпус из нержавеющей стали
</t>
    </r>
  </si>
  <si>
    <t>084H6001R</t>
  </si>
  <si>
    <t>084H6012R</t>
  </si>
  <si>
    <t>Чертеж реле уровня жидкости ELS 1.1 (084H6001R)</t>
  </si>
  <si>
    <t xml:space="preserve">Чертеж штуцера под сварку (084H6012R). В комплект поставки входит алюминиевое плоское уплотнение </t>
  </si>
  <si>
    <t xml:space="preserve">Предохранительные клапаны </t>
  </si>
  <si>
    <t>Клапаны SFV-R - это стандартные зависящие от противодавления предохранительные клапаны углового исполнения, предназначенные для защиты сосудов и других элементов системы охлаждения от слишком большого давления.
Клапаны удовлетворяют всем требованиям, предъявляемым к запорному оборудованию для промышленных холодильных установок.</t>
  </si>
  <si>
    <t>Уставка срабатывания, бар</t>
  </si>
  <si>
    <t>Рабочая температура*, °С</t>
  </si>
  <si>
    <t>027S2012R</t>
  </si>
  <si>
    <t>027N0020R</t>
  </si>
  <si>
    <t>027S2013R</t>
  </si>
  <si>
    <t>027N0025R</t>
  </si>
  <si>
    <t>027S2014R</t>
  </si>
  <si>
    <t>027N0032R</t>
  </si>
  <si>
    <t>027S2015R</t>
  </si>
  <si>
    <t>027S2016R</t>
  </si>
  <si>
    <t>027S2017R</t>
  </si>
  <si>
    <t>027S2018R</t>
  </si>
  <si>
    <t>027S2019R</t>
  </si>
  <si>
    <t>027S2020R</t>
  </si>
  <si>
    <t>027S2021R</t>
  </si>
  <si>
    <t>027S2022R</t>
  </si>
  <si>
    <t>027S2023R</t>
  </si>
  <si>
    <t>027S2024R</t>
  </si>
  <si>
    <t>027S2025R</t>
  </si>
  <si>
    <t>027S2026R</t>
  </si>
  <si>
    <t>027S2027R</t>
  </si>
  <si>
    <t>027S2028R</t>
  </si>
  <si>
    <t>027S2029R</t>
  </si>
  <si>
    <t>027S2030R</t>
  </si>
  <si>
    <t>027S2031R</t>
  </si>
  <si>
    <t>027S2032R</t>
  </si>
  <si>
    <t>027S2033R</t>
  </si>
  <si>
    <t>027S2034R</t>
  </si>
  <si>
    <t>027S2035R</t>
  </si>
  <si>
    <t>027S2036R</t>
  </si>
  <si>
    <t>027S2037R</t>
  </si>
  <si>
    <t>027S2038R</t>
  </si>
  <si>
    <t>027S2039R</t>
  </si>
  <si>
    <t>027S2040R</t>
  </si>
  <si>
    <t>027S2512R</t>
  </si>
  <si>
    <t>027S2513R</t>
  </si>
  <si>
    <t>027S2514R</t>
  </si>
  <si>
    <t>027S2515R</t>
  </si>
  <si>
    <t>027S2516R</t>
  </si>
  <si>
    <t>027S2517R</t>
  </si>
  <si>
    <t>027S2518R</t>
  </si>
  <si>
    <t>027S2519R</t>
  </si>
  <si>
    <t>027S2520R</t>
  </si>
  <si>
    <t>027S2521R</t>
  </si>
  <si>
    <t>027S2522R</t>
  </si>
  <si>
    <t>027S2523R</t>
  </si>
  <si>
    <t>027S2524R</t>
  </si>
  <si>
    <t>027S2525R</t>
  </si>
  <si>
    <t>027S2526R</t>
  </si>
  <si>
    <t>027S2527R</t>
  </si>
  <si>
    <t>027S2528R</t>
  </si>
  <si>
    <t>027S2529R</t>
  </si>
  <si>
    <t>027S2530R</t>
  </si>
  <si>
    <t>027S2531R</t>
  </si>
  <si>
    <t>027S2532R</t>
  </si>
  <si>
    <t>027S2533R</t>
  </si>
  <si>
    <t>027S2534R</t>
  </si>
  <si>
    <t>027S2535R</t>
  </si>
  <si>
    <t>027S2536R</t>
  </si>
  <si>
    <t>027S2537R</t>
  </si>
  <si>
    <t>027S2538R</t>
  </si>
  <si>
    <t>027S2539R</t>
  </si>
  <si>
    <t>027S2540R</t>
  </si>
  <si>
    <r>
      <rPr>
        <vertAlign val="superscript"/>
        <sz val="9"/>
        <rFont val="Verdana"/>
        <family val="2"/>
        <charset val="1"/>
      </rPr>
      <t>*</t>
    </r>
    <r>
      <rPr>
        <sz val="9"/>
        <rFont val="Verdana"/>
        <family val="2"/>
        <charset val="1"/>
      </rPr>
      <t>При температуре ниже –30°C полную герметичность клапана после срабатывания можно гарантировать только тогда, когда рабочее давление составляет 50% и менее (≤0,5 ∙ Pуст) предохранительного клапана</t>
    </r>
  </si>
  <si>
    <t>Запорные клапаны</t>
  </si>
  <si>
    <t>Запорные клапаны DSV - предназначены для использования с двумя предохранительными клапанами SFV-R. Наличие двух предохранительных клапанов позволяет пропускать поток через один из них, а второй предохранительный клапан использовать во время ремонта или сервисного обслуживания первого клапана.
Клапаны удовлетворяют всем требованиям, предъявляемым к запорному оборудованию для промышленных холодильных установок.</t>
  </si>
  <si>
    <t>027V2525R</t>
  </si>
  <si>
    <t>027V3225R</t>
  </si>
  <si>
    <t>027V3232R</t>
  </si>
  <si>
    <t>Поз.</t>
  </si>
  <si>
    <t>Кол-во, шт.</t>
  </si>
  <si>
    <t>Клапан DSV-F</t>
  </si>
  <si>
    <t xml:space="preserve">Ответный фланец под сварку DIN 25 </t>
  </si>
  <si>
    <t>2 и 5</t>
  </si>
  <si>
    <t xml:space="preserve">Фланец с резьбой G 1 1/4” </t>
  </si>
  <si>
    <t>Фланце с резьбой G 1 1/2</t>
  </si>
  <si>
    <t>Ответный фланец под сварку DIN 32</t>
  </si>
  <si>
    <t>Ответный фланец под сварку DIN 25</t>
  </si>
  <si>
    <t xml:space="preserve">Болты и прокладочные уплотнения включены в комплект поставки </t>
  </si>
  <si>
    <t>Предохранительные клапаны SFV-R заказываются отдельно</t>
  </si>
  <si>
    <t>Смотровые стекла уровня жидкости</t>
  </si>
  <si>
    <r>
      <rPr>
        <sz val="10"/>
        <rFont val="Verdana"/>
        <family val="2"/>
        <charset val="1"/>
      </rPr>
      <t xml:space="preserve">Смотровые стекла типа </t>
    </r>
    <r>
      <rPr>
        <b/>
        <sz val="10"/>
        <rFont val="Verdana"/>
        <family val="2"/>
        <charset val="1"/>
      </rPr>
      <t xml:space="preserve">LLG-R </t>
    </r>
    <r>
      <rPr>
        <sz val="10"/>
        <rFont val="Verdana"/>
        <family val="2"/>
        <charset val="1"/>
      </rPr>
      <t xml:space="preserve">и </t>
    </r>
    <r>
      <rPr>
        <b/>
        <sz val="10"/>
        <rFont val="Verdana"/>
        <family val="2"/>
        <charset val="1"/>
      </rPr>
      <t>SG-R</t>
    </r>
    <r>
      <rPr>
        <sz val="10"/>
        <rFont val="Verdana"/>
        <family val="2"/>
        <charset val="1"/>
      </rPr>
      <t xml:space="preserve"> предназначены для визуального контроля уровня жидкости в сосудах, расширительных баках, стояках и т. д. 
Стекла удовлетворяют всем требованиям, предъявляемым к оборудованию промышленных холодильных установок.</t>
    </r>
  </si>
  <si>
    <t>SG-R</t>
  </si>
  <si>
    <t>LLG-R</t>
  </si>
  <si>
    <t>027L0185R</t>
  </si>
  <si>
    <t>027L0335R</t>
  </si>
  <si>
    <t>027L0590R</t>
  </si>
  <si>
    <t>027L0740R</t>
  </si>
  <si>
    <t>027L0995R</t>
  </si>
  <si>
    <t>027L1145R</t>
  </si>
  <si>
    <t>027L1550R</t>
  </si>
  <si>
    <t>Смотровые стекла типа LLG-R поставляются в комплекте с двумя клапанами SNV-L и смотровой проставкой</t>
  </si>
  <si>
    <t>027L1267R</t>
  </si>
  <si>
    <t>Смотровые стекла типа SG-R поставляются в комплекте cо смотровой проставкой</t>
  </si>
  <si>
    <t>Привод электрические ICAD-R</t>
  </si>
  <si>
    <t>Приводы электрические ICAD-R разработаны для использования с клапанами ICM и служат для управления работой данных клапанов. Приводы управляются регулирующим аналоговым сигналом (4 – 20 мА/2 – 10 В) или дискретным сигналом «вкл/выкл». Приводы ICAD оснащены усовершенствованным интерфейсом «человек - машина» и дисплеем, который непрерывно показывает степень открытия клапана и дает возможность пользователю изменять режим работы привода.</t>
  </si>
  <si>
    <t xml:space="preserve">Электропитание </t>
  </si>
  <si>
    <t>Токавая нагрузка</t>
  </si>
  <si>
    <t>Кабельное
подключение</t>
  </si>
  <si>
    <t>Температура
окружающей среды, °С</t>
  </si>
  <si>
    <t>Класс
защиты</t>
  </si>
  <si>
    <t>Совместимость
с клапанами
ICM</t>
  </si>
  <si>
    <t>027H9075R</t>
  </si>
  <si>
    <t>24 В пост. тока , 
+ 10% / -15%;</t>
  </si>
  <si>
    <t>1,2 A</t>
  </si>
  <si>
    <t>M12</t>
  </si>
  <si>
    <t>IP 67</t>
  </si>
  <si>
    <t>DN 20-32</t>
  </si>
  <si>
    <t>027H9077R</t>
  </si>
  <si>
    <t>2,0 A</t>
  </si>
  <si>
    <t>DN 40-150</t>
  </si>
  <si>
    <t>Материал</t>
  </si>
  <si>
    <t>Типоразмер DN</t>
  </si>
  <si>
    <t>Совместимость
с клапанами</t>
  </si>
  <si>
    <t>Плоское уплотнение</t>
  </si>
  <si>
    <t>AFM 34</t>
  </si>
  <si>
    <t>PM / EVRAT / CVH</t>
  </si>
  <si>
    <t>PM</t>
  </si>
  <si>
    <t>PM / Пилоты</t>
  </si>
  <si>
    <t>Кольцевое уплотнение</t>
  </si>
  <si>
    <t>Хлоропрен</t>
  </si>
  <si>
    <t xml:space="preserve">PM </t>
  </si>
  <si>
    <t xml:space="preserve">PM / PMLX </t>
  </si>
  <si>
    <t>PM / PMLX</t>
  </si>
  <si>
    <t>PM / PMLX/ Пилоты</t>
  </si>
  <si>
    <t>PM / PMLX / Пилоты</t>
  </si>
  <si>
    <t>Алюминий</t>
  </si>
  <si>
    <t>Сальник с прокладками</t>
  </si>
  <si>
    <t>20-65</t>
  </si>
  <si>
    <t>80-100</t>
  </si>
  <si>
    <t>027Z4255R</t>
  </si>
  <si>
    <t>CVP, CVPP, CVC, EVM</t>
  </si>
  <si>
    <t>Комплекты прокладочных уплотнений для пилотных клапанов SVA, REG, SCA, CHV, FIA</t>
  </si>
  <si>
    <t>Типоразмер</t>
  </si>
  <si>
    <t>Рисунок</t>
  </si>
  <si>
    <t>SVA, REG, SCA, CHV, FIA</t>
  </si>
  <si>
    <t>SVA, SCA, CHV, FIA</t>
  </si>
  <si>
    <t>SVA, FIA</t>
  </si>
  <si>
    <t>SVA</t>
  </si>
  <si>
    <t>Комплект сальникового уплотнения для SVA, SCA, REG</t>
  </si>
  <si>
    <t>Поз. на рис.</t>
  </si>
  <si>
    <t>Сальник</t>
  </si>
  <si>
    <t>SVA, REG, SCA</t>
  </si>
  <si>
    <t>Уплотнение</t>
  </si>
  <si>
    <t>Графит</t>
  </si>
  <si>
    <t>SVA, SCA</t>
  </si>
  <si>
    <t>Ремонтный комплект для запорного клапана SVA</t>
  </si>
  <si>
    <t>Запорный конус в сборе</t>
  </si>
  <si>
    <t>Сталь</t>
  </si>
  <si>
    <t>Шар</t>
  </si>
  <si>
    <t>Винт</t>
  </si>
  <si>
    <t>Столбец3</t>
  </si>
  <si>
    <t>Полное  наименование</t>
  </si>
  <si>
    <t>Группа</t>
  </si>
  <si>
    <t>Тип 2</t>
  </si>
  <si>
    <t xml:space="preserve">Исполнение/
модификация </t>
  </si>
  <si>
    <t>МРД,
бар изб.</t>
  </si>
  <si>
    <t xml:space="preserve">Присоединение </t>
  </si>
  <si>
    <t>Цена, KZT
без НДС</t>
  </si>
  <si>
    <t>Цена, KZT
с НДС 16%</t>
  </si>
  <si>
    <t xml:space="preserve">Группа скидок </t>
  </si>
  <si>
    <t xml:space="preserve">Примечание </t>
  </si>
  <si>
    <t>Столбец1</t>
  </si>
  <si>
    <t>Столбец2</t>
  </si>
  <si>
    <t>ICF-R 20-B12:B232</t>
  </si>
  <si>
    <t>Электромагнитная катушка BE230AS</t>
  </si>
  <si>
    <t>Coil</t>
  </si>
  <si>
    <t>BE230AS</t>
  </si>
  <si>
    <t>Катушка BE230AS; 10 Вт; 220В; 50 Гц; перем. тока; DIN 43650</t>
  </si>
  <si>
    <t>A</t>
  </si>
  <si>
    <t>BE024AS</t>
  </si>
  <si>
    <t>Катушка BE024AS; 10 Вт; 220В; 50 Гц; перем. тока; DIN 43650</t>
  </si>
  <si>
    <t>C</t>
  </si>
  <si>
    <t>Электромагнитная катушка BN230AS</t>
  </si>
  <si>
    <t>BN230AS</t>
  </si>
  <si>
    <t>Катушка BN230AS; 18 Вт; 220В; 50 Гц; перем. тока; DIN 43650</t>
  </si>
  <si>
    <t>B</t>
  </si>
  <si>
    <t>Электромагнитный клапан</t>
  </si>
  <si>
    <t>Электромагнитный клапан EVRAT 10</t>
  </si>
  <si>
    <t>EVRA(T)</t>
  </si>
  <si>
    <t>EVRAT 10</t>
  </si>
  <si>
    <t xml:space="preserve"> -45…105</t>
  </si>
  <si>
    <t>R717 и фреоны</t>
  </si>
  <si>
    <t>Фланец. Ответные фланцы под сварку DIN</t>
  </si>
  <si>
    <t>EVRAT 10  со штоком ручного открытия и ответными фланцами в комплекте; без катушки</t>
  </si>
  <si>
    <t>Электромагнитный клапан EVRAT 15</t>
  </si>
  <si>
    <t>EVRAT 15</t>
  </si>
  <si>
    <t>EVRAT 15  со штоком ручного открытия и ответными фланцами в комплекте; без катушки</t>
  </si>
  <si>
    <t>Электромагнитный клапан EVRA 20</t>
  </si>
  <si>
    <t>EVRA 20 с ответными фланцами в комплекте; без катушки</t>
  </si>
  <si>
    <t>Электромагнитный клапан EVRA 25</t>
  </si>
  <si>
    <t>EVRA 25 с ответными фланцами в комплекте; без катушки</t>
  </si>
  <si>
    <t>Электромагнитный клапан EVRA 32</t>
  </si>
  <si>
    <t>EVRA 32 с ответными фланцами в комплекте; без катушки</t>
  </si>
  <si>
    <t>Электромагнитный клапан EVRA 40</t>
  </si>
  <si>
    <t>EVRA 40 с ответными фланцами в комплекте; без катушки</t>
  </si>
  <si>
    <t>Электромагнитный клапан EVRA 50</t>
  </si>
  <si>
    <t>EVRA 50 с ответными фланцами в комплекте; без катушки</t>
  </si>
  <si>
    <t xml:space="preserve">Двухступенчатый электромагнитный клапан </t>
  </si>
  <si>
    <t>Двухступенчатый электромагнитный клапан PMLX 32</t>
  </si>
  <si>
    <t>PMLX</t>
  </si>
  <si>
    <t>28 / 30</t>
  </si>
  <si>
    <t xml:space="preserve"> -45…120</t>
  </si>
  <si>
    <t xml:space="preserve">PMLX 32;  c 2-мя пилотами EVM-NC + катушки и ответными фланцами в комплекте; </t>
  </si>
  <si>
    <t>PR PL40R-Project</t>
  </si>
  <si>
    <t>Двухступенчатый электромагнитный клапан PMLX 40</t>
  </si>
  <si>
    <t xml:space="preserve">PMLX 40;  c 2-мя пилотами EVM-NC + катушки и ответными фланцами в комплекте; </t>
  </si>
  <si>
    <t>Двухступенчатый электромагнитный клапан</t>
  </si>
  <si>
    <t>Двухступенчатый электромагнитный клапан PMLX 50</t>
  </si>
  <si>
    <t xml:space="preserve">PMLX 50;   c 2-мя пилотами EVM-NC + катушки и ответными фланцами в комплекте; </t>
  </si>
  <si>
    <t>Двухступенчатый электромагнитный клапан PMLX 65</t>
  </si>
  <si>
    <t xml:space="preserve">PMLX 65;  c 2-мя пилотами EVM-NC + катушки и ответными фланцами в комплекте; </t>
  </si>
  <si>
    <t>Двухступенчатый электромагнитный клапан PMLX 80</t>
  </si>
  <si>
    <t xml:space="preserve">PMLX 80;   c 2-мя пилотами EVM-NC + катушки и ответными фланцами в комплекте; </t>
  </si>
  <si>
    <t>Двухступенчатый электромагнитный клапан PMLX 100</t>
  </si>
  <si>
    <t xml:space="preserve">PMLX 100;   c 2-мя пилотами EVM-NC + катушки и ответными фланцами в комплекте; </t>
  </si>
  <si>
    <t>Двухступенчатый электромагнитный клапан PMLX 125</t>
  </si>
  <si>
    <t xml:space="preserve"> -50…120</t>
  </si>
  <si>
    <t>R717, R744 и фреоны</t>
  </si>
  <si>
    <t>Под сварку встык DIN</t>
  </si>
  <si>
    <t>Двухступенчатый электромагнитный клапан ICLX-R 32 D</t>
  </si>
  <si>
    <t>ICLX-R</t>
  </si>
  <si>
    <t>ICLX-R 32 D</t>
  </si>
  <si>
    <t xml:space="preserve">ICLX-R 32 </t>
  </si>
  <si>
    <t>Двухступенчатый электромагнитный клапан ICLX-R 40 D</t>
  </si>
  <si>
    <t>ICLX-R 40 D</t>
  </si>
  <si>
    <t xml:space="preserve">ICLX-R 40 </t>
  </si>
  <si>
    <t>Двухступенчатый электромагнитный клапан ICLX-R 50 D</t>
  </si>
  <si>
    <t>ICLX-R 50 D</t>
  </si>
  <si>
    <t xml:space="preserve">ICLX-R 50 </t>
  </si>
  <si>
    <t>Двухступенчатый электромагнитный клапан  ICLX-R 65 D</t>
  </si>
  <si>
    <t>ICLX-R 65 D</t>
  </si>
  <si>
    <t xml:space="preserve">ICLX-R 65 </t>
  </si>
  <si>
    <t>Двухступенчатый электромагнитный клапан ICLX-R 80 D</t>
  </si>
  <si>
    <t>ICLX-R 80 D</t>
  </si>
  <si>
    <t xml:space="preserve">ICLX-R 80 </t>
  </si>
  <si>
    <t>Двухступенчатый электромагнитный клапан ICLX-R 100 D</t>
  </si>
  <si>
    <t>ICLX-R 100 D</t>
  </si>
  <si>
    <t>ICLX-R 100</t>
  </si>
  <si>
    <t>Двухступенчатый электромагнитный клапан ICLX-R 125 D</t>
  </si>
  <si>
    <t>ICLX-R 125 D</t>
  </si>
  <si>
    <t>ICLX-R 125</t>
  </si>
  <si>
    <t>Двухступенчатый электромагнитный клапан ICLX-R 150 D</t>
  </si>
  <si>
    <t>ICLX-R 150 D</t>
  </si>
  <si>
    <t>ICLX-R 150</t>
  </si>
  <si>
    <t>Клапан-регулятор давления с пилотным управлением</t>
  </si>
  <si>
    <t>Клапан-регулятор давления с пилотным управлением PM 20 D</t>
  </si>
  <si>
    <t>PM-3 DN20 с ответными фланцами в комплекте</t>
  </si>
  <si>
    <t>Клапан-регулятор давления с пилотным управлением PM 25 D</t>
  </si>
  <si>
    <t>PM-3 DN25 с ответными фланцами в комплекте</t>
  </si>
  <si>
    <t>Клапан-регулятор давления с пилотным управлением PM 32 D</t>
  </si>
  <si>
    <t>PM-3 DN32 с ответными фланцами в комплекте</t>
  </si>
  <si>
    <t>Клапан-регулятор давления с пилотным управлением PM 40 D</t>
  </si>
  <si>
    <t>PM-3 DN40 с ответными фланцами в комплекте</t>
  </si>
  <si>
    <t>Клапан-регулятор давления с пилотным управлением PM 50 D</t>
  </si>
  <si>
    <t>PM-3 DN50 с ответными фланцами в комплекте</t>
  </si>
  <si>
    <t>Клапан-регулятор давления с пилотным управлением PM 65 D</t>
  </si>
  <si>
    <t>PM-3 DN65 с ответными фланцами в комплекте</t>
  </si>
  <si>
    <t>Клапан-регулятор давления с пилотным управлением PM 80 D</t>
  </si>
  <si>
    <t>PM-3 DN80 с ответными фланцами в комплекте</t>
  </si>
  <si>
    <t>Клапан-регулятор давления с пилотным управлением PM 100 D</t>
  </si>
  <si>
    <t>PM-3 DN100 с ответными фланцами в комплекте</t>
  </si>
  <si>
    <t>Клапан-регулятор давления ICS-R 20 D</t>
  </si>
  <si>
    <t>ICS-R</t>
  </si>
  <si>
    <t>ICS-R 20 D</t>
  </si>
  <si>
    <t>ICS-R 20 D PN 52</t>
  </si>
  <si>
    <t>Клапан-регулятор давления ICS-R 25 D</t>
  </si>
  <si>
    <t>ICS-R 25 D</t>
  </si>
  <si>
    <t>ICS-R 25 D PN 52</t>
  </si>
  <si>
    <t>Клапан-регулятор давления ICS-R 32 D</t>
  </si>
  <si>
    <t>ICS-R 32 D</t>
  </si>
  <si>
    <t>ICS-R 32 D PN 52</t>
  </si>
  <si>
    <t>Клапан-регулятор давления ICS-R 40 D</t>
  </si>
  <si>
    <t>ICS-R 40 D</t>
  </si>
  <si>
    <t>ICS-R 40 D PN 52</t>
  </si>
  <si>
    <t>Клапан-регулятор давления ICS-R 50 D</t>
  </si>
  <si>
    <t>ICS-R 50 D</t>
  </si>
  <si>
    <t>ICS-R 50 D PN 52</t>
  </si>
  <si>
    <t>Клапан-регулятор давления ICS-R 65 D</t>
  </si>
  <si>
    <t>ICS-R 65 D</t>
  </si>
  <si>
    <t>ICS-R 65 D PN 52</t>
  </si>
  <si>
    <t>Клапан-регулятор давления ICS-R 80 D</t>
  </si>
  <si>
    <t>ICS-R 80 D</t>
  </si>
  <si>
    <t>ICS-R 80 D PN 52</t>
  </si>
  <si>
    <t>Клапан-регулятор давления ICS-R 100 D</t>
  </si>
  <si>
    <t>ICS-R 100 D</t>
  </si>
  <si>
    <t>ICS-R 100 D PN 52</t>
  </si>
  <si>
    <t>Клапан-регулятор давления ICS-R 125 D</t>
  </si>
  <si>
    <t>ICS-R 125 D</t>
  </si>
  <si>
    <t>ICS-R 125 D PN 52</t>
  </si>
  <si>
    <t>Клапан-регулятор давления ICS-R 150 D</t>
  </si>
  <si>
    <t>ICS-R 150 D</t>
  </si>
  <si>
    <t>ICS-R 150 D PN 52</t>
  </si>
  <si>
    <t>Пилотный клапан (до себя)</t>
  </si>
  <si>
    <t xml:space="preserve">Пилотный клапан  CVP-L (-0,65 ÷ 10 бар) </t>
  </si>
  <si>
    <t>CVP</t>
  </si>
  <si>
    <t>CVP-L</t>
  </si>
  <si>
    <t xml:space="preserve"> -0,65 ÷ 7</t>
  </si>
  <si>
    <t>Резьба M24х1,5</t>
  </si>
  <si>
    <t xml:space="preserve">CVP-L1; диапазон регулирования (-0,65 ÷ 7 бар) </t>
  </si>
  <si>
    <t xml:space="preserve">Пилотный клапан  CVP-M  (4  ÷ 25 бар) </t>
  </si>
  <si>
    <t xml:space="preserve">CVP-M </t>
  </si>
  <si>
    <t>4  ÷ 25</t>
  </si>
  <si>
    <t>CVP-M; диапазон регулирования (4  ÷ 25 бар)</t>
  </si>
  <si>
    <t xml:space="preserve">Пилотный клапан  CVP-H  (10 ÷ 52 бар) </t>
  </si>
  <si>
    <t xml:space="preserve">CVP-H </t>
  </si>
  <si>
    <t>10 ÷ 52</t>
  </si>
  <si>
    <t>CVP-M; диапазон регулирования (10  ÷ 52 бар)</t>
  </si>
  <si>
    <t>Пилотный клапан (перепада давления)</t>
  </si>
  <si>
    <t xml:space="preserve">Пилотный клапан  CVPP (0 ÷ 10 бар) </t>
  </si>
  <si>
    <t>CVPP</t>
  </si>
  <si>
    <t>0 ÷ 10</t>
  </si>
  <si>
    <t>CVPP; диапазон регулирования (0  ÷ 10 бар)</t>
  </si>
  <si>
    <t>Пилотный клапан (после себя)</t>
  </si>
  <si>
    <t>Пилотный клапан CVC  (0 ÷ 15  бар)</t>
  </si>
  <si>
    <t>CVC</t>
  </si>
  <si>
    <t>0  ÷ 15</t>
  </si>
  <si>
    <t>CVC; диапазон регулирования  (0,5  ÷ 7  бар)</t>
  </si>
  <si>
    <t>Электромагнитный пилотный клапан</t>
  </si>
  <si>
    <t>Электромагнитный пилотный клапан EVM-NC;</t>
  </si>
  <si>
    <t>EVM</t>
  </si>
  <si>
    <t>EVM-NC</t>
  </si>
  <si>
    <t xml:space="preserve">нормально закрытый </t>
  </si>
  <si>
    <t xml:space="preserve">EVM-NC; нормально закрытый </t>
  </si>
  <si>
    <t>Электромагнитный пилотный клапан EVM-NO;</t>
  </si>
  <si>
    <t>EVM-NO</t>
  </si>
  <si>
    <t>нормально открытый</t>
  </si>
  <si>
    <t xml:space="preserve">EVM-NO; нормально закрытый </t>
  </si>
  <si>
    <t>Корпус для пилотных клапанов CVH 10</t>
  </si>
  <si>
    <t>CVH</t>
  </si>
  <si>
    <t xml:space="preserve">CVH с ответными фланцами в комплекте </t>
  </si>
  <si>
    <t>Корпус для пилотных клапанов CVH 15</t>
  </si>
  <si>
    <t>CVH с ответными фланцами в комплекте</t>
  </si>
  <si>
    <t>Корпус для пилотных клапанов CVH 20</t>
  </si>
  <si>
    <t>Клапан-регулятор давления</t>
  </si>
  <si>
    <t>Клапан-регулятор давления OFV 20</t>
  </si>
  <si>
    <t xml:space="preserve">OFV </t>
  </si>
  <si>
    <t>OFV 20 D; диапазон регулирования (2 ÷ 8 бар); под сварку встык</t>
  </si>
  <si>
    <t>Клапан-регулятор давления OFV 25</t>
  </si>
  <si>
    <t>OFV 25 D; диапазон регулирования (2 ÷ 8 бар); под сварку встык</t>
  </si>
  <si>
    <t>Клапан-регулятор давления OFV 32</t>
  </si>
  <si>
    <t>OFV 32 D; диапазон регулирования (2 ÷ 8 бар); под сварку встык</t>
  </si>
  <si>
    <t>Клапан-регулятор давления OFV 40</t>
  </si>
  <si>
    <t>OFV 40 D; диапазон регулирования (2 ÷ 8 бар); под сварку встык</t>
  </si>
  <si>
    <t>Запорный клапан с функцией быстрого спуска</t>
  </si>
  <si>
    <t>Угловой запорный клапан  SVA-Q 15 D ANG</t>
  </si>
  <si>
    <t>SVA-Q 15 D ANG</t>
  </si>
  <si>
    <t>Угловой запорный клапан  SVA-Q 20 D ANG</t>
  </si>
  <si>
    <t>SVA-Q 20 D ANG</t>
  </si>
  <si>
    <t>Запорный клапан</t>
  </si>
  <si>
    <t>Прямой запорный клапан  SVA 15 D STR PN 52</t>
  </si>
  <si>
    <t xml:space="preserve"> SVA15 D STR; колпачок и маховик в комплекте; под сварку встык</t>
  </si>
  <si>
    <t>Угловой запорный клапан  SVA 15 D ANG PN 52</t>
  </si>
  <si>
    <t xml:space="preserve"> SVA 15 D ANG; колпачок и маховик в комплекте; под сварку встык</t>
  </si>
  <si>
    <t>Прямой запорный клапан  SVA 20 D STR PN 52</t>
  </si>
  <si>
    <t xml:space="preserve"> SVA 20 D STR; колпачок и маховик в комплекте; под сварку встык</t>
  </si>
  <si>
    <t>Угловой запорный клапан  SVA 20 D ANG PN 52</t>
  </si>
  <si>
    <t xml:space="preserve"> SVA 20 D ANG; колпачок и маховик в комплекте; под сварку встык</t>
  </si>
  <si>
    <t>Прямой запорный клапан  SVA 25 D STR PN 52</t>
  </si>
  <si>
    <t xml:space="preserve"> SVA 25 D STR; колпачок и маховик в комплекте; под сварку встык</t>
  </si>
  <si>
    <t>Угловой запорный клапан  SVA 25 D ANG PN 52</t>
  </si>
  <si>
    <t xml:space="preserve"> SVA 25 D ANG; колпачок и маховик в комплекте; под сварку встык</t>
  </si>
  <si>
    <t>Прямой запорный клапан  SVA 32 D STR PN 52</t>
  </si>
  <si>
    <t xml:space="preserve"> SVA 32 D STR; колпачок и маховик в комплекте; под сварку встык</t>
  </si>
  <si>
    <t>Угловой запорный клапан  SVA 32 D ANG PN 52</t>
  </si>
  <si>
    <t xml:space="preserve"> SVA 32 D ANG; колпачок и маховик в комплекте; под сварку встык</t>
  </si>
  <si>
    <t>Прямой запорный клапан  SVA 40 D STR PN 52</t>
  </si>
  <si>
    <t xml:space="preserve"> SVA 40 D STR; колпачок и маховик в комплекте; под сварку встык</t>
  </si>
  <si>
    <t>Угловой запорный клапан  SVA 40 D ANG PN 52</t>
  </si>
  <si>
    <t xml:space="preserve"> SVA 40 D ANG; колпачок и маховик в комплекте; под сварку встык</t>
  </si>
  <si>
    <t>Прямой запорный клапан  SVA 50 D STR PN 52</t>
  </si>
  <si>
    <t xml:space="preserve"> SVA 50 D STR; колпачок и маховик в комплекте; под сварку встык</t>
  </si>
  <si>
    <t>Угловой запорный клапан  SVA 50 D ANG PN 52</t>
  </si>
  <si>
    <t xml:space="preserve"> SVA 50 D ANG; колпачок и маховик в комплекте; под сварку встык</t>
  </si>
  <si>
    <t>Прямой запорный клапан  SVA 65 D STR PN 52</t>
  </si>
  <si>
    <t xml:space="preserve"> SVA 65 D STR; колпачок и маховик в комплекте; под сварку встык</t>
  </si>
  <si>
    <t>Угловой запорный клапан  SVA 65 D ANG PN 52</t>
  </si>
  <si>
    <t xml:space="preserve"> SVA 65 D ANG; колпачок и маховик в комплекте; под сварку встык</t>
  </si>
  <si>
    <t>Прямой запорный клапан  SVA 80 D STR PN 52</t>
  </si>
  <si>
    <t xml:space="preserve"> SVA 80 D STR; колпачок и маховик в комплекте; под сварку встык</t>
  </si>
  <si>
    <t>Угловой запорный клапан  SVA 80 D ANG PN 52</t>
  </si>
  <si>
    <t xml:space="preserve"> SVA 80 D ANG; колпачок и маховик в комплекте; под сварку встык</t>
  </si>
  <si>
    <t>Прямой запорный клапан  SVA 100 D STR PN 52</t>
  </si>
  <si>
    <t xml:space="preserve"> SVA 100 D STR; колпачок и маховик в комплекте; под сварку встык</t>
  </si>
  <si>
    <t>Угловой запорный клапан  SVA 100 D ANG PN 52</t>
  </si>
  <si>
    <t xml:space="preserve"> SVA 100 D ANG; колпачок и маховик в комплекте; под сварку встык</t>
  </si>
  <si>
    <t>Прямой запорный клапан  SVA 125 D STR PN 52</t>
  </si>
  <si>
    <t xml:space="preserve"> SVA 125 D STR; колпачок и маховик в комплекте; под сварку встык</t>
  </si>
  <si>
    <t>Угловой запорный клапан  SVA 125 D ANG PN 52</t>
  </si>
  <si>
    <t xml:space="preserve"> SVA 125 D ANG; колпачок и маховик в комплекте; под сварку встык</t>
  </si>
  <si>
    <t>Прямой запорный клапан  SVA 150 D STR PN 52</t>
  </si>
  <si>
    <t xml:space="preserve"> SVA 150 D STR; колпачок и маховик в комплекте; под сварку встык</t>
  </si>
  <si>
    <t>Угловой запорный клапан  SVA 150 D ANG PN 52</t>
  </si>
  <si>
    <t xml:space="preserve"> SVA 150 D ANG; колпачок и маховик в комплекте; под сварку встык</t>
  </si>
  <si>
    <t>Прямой запорный клапан  SVA 100 D STR PN 40</t>
  </si>
  <si>
    <t>Угловой запорный клапан  SVA 100 D ANG PN 40</t>
  </si>
  <si>
    <t>Прямой запорный клапан SVA 125 D STR PN 40</t>
  </si>
  <si>
    <t>Угловой запорный клапан  SVA 125 D ANG PN 40</t>
  </si>
  <si>
    <t>Прямой запорный клапан  SVA 150 D STR PN 40</t>
  </si>
  <si>
    <t>Угловой запорный клапан  SVA 150 D ANG PN 40</t>
  </si>
  <si>
    <t>Прямой запорный клапан  SVA 200 D STR PN 40</t>
  </si>
  <si>
    <t xml:space="preserve"> SVA 200 D STR; колпачок и маховик в комплекте; под сварку встык</t>
  </si>
  <si>
    <t>Угловой запорный клапан  SVA 200 D ANG PN 40</t>
  </si>
  <si>
    <t xml:space="preserve"> SVA 200 D ANG; колпачок и маховик в комплекте; под сварку встык</t>
  </si>
  <si>
    <t>Угловой запорный клапан  SVA 250 D ANG PN 40</t>
  </si>
  <si>
    <t xml:space="preserve"> SVA 250 D ANG; колпачок и маховик в комплекте; под сварку встык</t>
  </si>
  <si>
    <t>Угловой запорный клапан  SVA 300 D ANG PN 40</t>
  </si>
  <si>
    <t xml:space="preserve"> SVA 300 D ANG; колпачок и маховик в комплекте; под сварку встык</t>
  </si>
  <si>
    <t>Угловой запорный клапан  SVA 350 D ANG PN 40</t>
  </si>
  <si>
    <t xml:space="preserve"> SVA 350 D ANG; колпачок и маховик в комплекте; под сварку встык</t>
  </si>
  <si>
    <t xml:space="preserve">Быстроспускной запорный клапан </t>
  </si>
  <si>
    <t>Быстроспускной запорный клапан SVA-Q 15 D</t>
  </si>
  <si>
    <t>SVA-Q</t>
  </si>
  <si>
    <t>SVA-Q 15 D</t>
  </si>
  <si>
    <t xml:space="preserve"> -40…120</t>
  </si>
  <si>
    <t xml:space="preserve">Вход - под сварку встык DIN 15
Выход - резьба G3/4" </t>
  </si>
  <si>
    <t>Быстроспускной запорный клапан  SVA-Q 20 D</t>
  </si>
  <si>
    <t>SVA-Q 20 D</t>
  </si>
  <si>
    <t xml:space="preserve">Вход - под сварку встык DIN 20
Выход - резьба G3/4" </t>
  </si>
  <si>
    <t>Ручной регулирующий клапан</t>
  </si>
  <si>
    <t>Прямой ручной регулирующий клапан  REG 15 D STR</t>
  </si>
  <si>
    <t xml:space="preserve">REG </t>
  </si>
  <si>
    <t>REG 15 D STR; колпачок и маховик в комплекте; под сварку встык</t>
  </si>
  <si>
    <t>Угловой ручной регулирующий клапан  REG 15 D ANG</t>
  </si>
  <si>
    <t>REG 15 D ANG; колпачок и маховик в комплекте; под сварку встык</t>
  </si>
  <si>
    <t>Прямой ручной регулирующий клапан  REG 20 D STR</t>
  </si>
  <si>
    <t>REG 20 D STR; колпачок и маховик в комплекте; под сварку встык</t>
  </si>
  <si>
    <t>Угловой ручной регулирующий клапан  REG 20 D ANG</t>
  </si>
  <si>
    <t>REG 20 D ANG; колпачок и маховик в комплекте; под сварку встык</t>
  </si>
  <si>
    <t>Прямой ручной регулирующий клапан  REG 25 D STR</t>
  </si>
  <si>
    <t>REG 25 D STR; колпачок и маховик в комплекте; под сварку встык</t>
  </si>
  <si>
    <t>Угловой ручной регулирующий клапан  REG 25 D ANG</t>
  </si>
  <si>
    <t>REG 25 D ANG; колпачок и маховик в комплекте; под сварку встык</t>
  </si>
  <si>
    <t>Прямой ручной регулирующий клапан  REG 32 D STR</t>
  </si>
  <si>
    <t>REG 32 D STR; колпачок и маховик в комплекте; под сварку встык</t>
  </si>
  <si>
    <t>Угловой ручной регулирующий клапан  REG 32 D ANG</t>
  </si>
  <si>
    <t>REG 32 D ANG; колпачок и маховик в комплекте; под сварку встык</t>
  </si>
  <si>
    <t>Прямой ручной регулирующий клапан  REG 40 D STR</t>
  </si>
  <si>
    <t>REG 40 D STR; колпачок и маховик в комплекте; под сварку встык</t>
  </si>
  <si>
    <t>Угловой ручной регулирующий клапан  REG 40 D ANG</t>
  </si>
  <si>
    <t>REG 40 D ANG; колпачок и маховик в комплекте; под сварку встык</t>
  </si>
  <si>
    <t>Прямой ручной регулирующий клапан  REG 50 D STR</t>
  </si>
  <si>
    <t>REG 50 D STR; колпачок и маховик в комплекте; под сварку встык</t>
  </si>
  <si>
    <t>Угловой ручной регулирующий клапан  REG 50 D ANG</t>
  </si>
  <si>
    <t>REG 50 D ANG; колпачок и маховик в комплекте; под сварку встык</t>
  </si>
  <si>
    <t>Прямой ручной регулирующий клапан  REG 65 D STR</t>
  </si>
  <si>
    <t>REG 65 D STR; колпачок и маховик в комплекте; под сварку встык</t>
  </si>
  <si>
    <t>Угловой ручной регулирующий клапан  REG 65 D ANG</t>
  </si>
  <si>
    <t>REG 65 D ANG; колпачок и маховик в комплекте; под сварку встык</t>
  </si>
  <si>
    <t>Прямой ручной регулирующий клапан  REG 80 D STR</t>
  </si>
  <si>
    <t>REG 80 D STR; колпачок и маховик в комплекте; под сварку встык</t>
  </si>
  <si>
    <t>Угловой ручной регулирующий клапан  REG 80 D ANG</t>
  </si>
  <si>
    <t>REG 80 D ANG; колпачок и маховик в комплекте; под сварку встык</t>
  </si>
  <si>
    <t>Обратный клапан</t>
  </si>
  <si>
    <t>Прямой обратный клапан  CHV 15 D STR PN 52</t>
  </si>
  <si>
    <t xml:space="preserve"> CHV</t>
  </si>
  <si>
    <t>CHV15 D STR; под сварку встык</t>
  </si>
  <si>
    <t>Угловой обратный клапан  CHV 15 D ANG PN 52</t>
  </si>
  <si>
    <t>CHV15 D ANG; под сварку встык</t>
  </si>
  <si>
    <t>Прямой обратный клапан  CHV 20 D STR PN 52</t>
  </si>
  <si>
    <t>CHV20 D STR; под сварку встык</t>
  </si>
  <si>
    <t>Угловой обратный клапан  CHV 20 D ANG PN 52</t>
  </si>
  <si>
    <t>CHV20 D ANG; под сварку встык</t>
  </si>
  <si>
    <t>Прямой обратный клапан  CHV 25 D STR PN 52</t>
  </si>
  <si>
    <t>CHV25 D STR ; под сварку встык</t>
  </si>
  <si>
    <t>Угловой обратный клапан  CHV 25 D ANG PN 52</t>
  </si>
  <si>
    <t>CHV25D ANG; под сварку встык</t>
  </si>
  <si>
    <t>Прямой обратный клапан  CHV 32 D STR PN 52</t>
  </si>
  <si>
    <t>CHV32 D STR; под сварку встык</t>
  </si>
  <si>
    <t>Угловой обратный клапан  CHV 32 D ANG PN 52</t>
  </si>
  <si>
    <t>CHV32 D ANG; под сварку встык</t>
  </si>
  <si>
    <t>Прямой обратный клапан  CHV 40 D STR PN 52</t>
  </si>
  <si>
    <t xml:space="preserve">CHV40 D STR; под сварку встык </t>
  </si>
  <si>
    <t>Угловой обратный клапан  CHV 40 D ANG PN 52</t>
  </si>
  <si>
    <t xml:space="preserve">CHV40 D ANG; под сварку встык </t>
  </si>
  <si>
    <t>Прямой обратный клапан  CHV 50 D STR PN 52</t>
  </si>
  <si>
    <t>CHV50 D STR; под сварку встык</t>
  </si>
  <si>
    <t>Угловой обратный клапан  CHV 50 D ANG PN 52</t>
  </si>
  <si>
    <t>CHV50 D ANG; под сварку встык</t>
  </si>
  <si>
    <t>Прямой обратный клапан  CHV 65 D STR PN 52</t>
  </si>
  <si>
    <t>CHV65 D STR; под сварку встык</t>
  </si>
  <si>
    <t>Угловой обратный клапан  CHV 65 D ANG PN 52</t>
  </si>
  <si>
    <t>CHV65 D ANG; под сварку встык</t>
  </si>
  <si>
    <t>Прямой обратный клапан  CHV 80 D STR PN 52</t>
  </si>
  <si>
    <t>CHV80 D STR; под сварку встык</t>
  </si>
  <si>
    <t>Угловой обратный клапан  CHV 80 D ANG PN 52</t>
  </si>
  <si>
    <t>CHV80 D ANG; под сварку встык</t>
  </si>
  <si>
    <t>Прямой обратный клапан  CHV 100 D STR PN 52</t>
  </si>
  <si>
    <t>CHV100 D STR</t>
  </si>
  <si>
    <t>Угловой обратный клапан  CHV 100 D ANG PN 52</t>
  </si>
  <si>
    <t>CHV100 D ANG</t>
  </si>
  <si>
    <t>Прямой обратный клапан  CHV 125 D STR PN 52</t>
  </si>
  <si>
    <t>CHV125 D STR</t>
  </si>
  <si>
    <t>Угловой обратный клапан  CHV 125 D ANG PN 52</t>
  </si>
  <si>
    <t xml:space="preserve">CHV125 D ANG </t>
  </si>
  <si>
    <t>Прямой обратный клапан  CHV 150 D STR PN 52</t>
  </si>
  <si>
    <t xml:space="preserve">CHV150 D STR </t>
  </si>
  <si>
    <t>Угловой обратный клапан  CHV 150 D ANG PN 52</t>
  </si>
  <si>
    <t>CHV150 D ANG</t>
  </si>
  <si>
    <t>Прямой обратный клапан  CHV 100 D STR PN 40</t>
  </si>
  <si>
    <t>CHV100 D STR; под сварку встык</t>
  </si>
  <si>
    <t>Угловой обратный клапан  CHV 100 D ANG PN 40</t>
  </si>
  <si>
    <t>CHV100 D ANG; под сварку встык</t>
  </si>
  <si>
    <t>Прямой обратный клапан  CHV 125 D STR PN 40</t>
  </si>
  <si>
    <t>CHV125 D STR; под сварку встык</t>
  </si>
  <si>
    <t>Угловой обратный клапан  CHV 125 D ANG PN 40</t>
  </si>
  <si>
    <t>CHV125 D ANG; под сварку встык</t>
  </si>
  <si>
    <t>Прямой обратный клапан  CHV 150 D STR PN 40</t>
  </si>
  <si>
    <t>CHV150 D STR; под сварку встык</t>
  </si>
  <si>
    <t>Угловой обратный клапан  CHV 150 D ANG PN 40</t>
  </si>
  <si>
    <t>CHV150 D ANG; под сварку встык</t>
  </si>
  <si>
    <t>Обратно-запорный клапан</t>
  </si>
  <si>
    <t>Прямой обратно запорный клапан  SCA 15 D STR PN 52</t>
  </si>
  <si>
    <t xml:space="preserve"> SCA</t>
  </si>
  <si>
    <t>SCA 15 D STR; колпачок и маховик в комплекте</t>
  </si>
  <si>
    <t>Угловой обратно запорный клапан  SCA 15 D ANG PN 52</t>
  </si>
  <si>
    <t>SCA 15 D ANG; колпачок и маховик в комплекте</t>
  </si>
  <si>
    <t>Прямой обратно запорный клапан  SCA 20 D STR PN 52</t>
  </si>
  <si>
    <t>SCA 20 D STR; колпачок и маховик в комплекте</t>
  </si>
  <si>
    <t>Угловой обратно запорный клапан  SCA 20 D ANG PN 52</t>
  </si>
  <si>
    <t>SCA 20 D ANG; колпачок и маховик в комплекте</t>
  </si>
  <si>
    <t>Прямой обратно запорный клапан  SCA 25 D STR PN 52</t>
  </si>
  <si>
    <t>SCA 25 D STR; колпачок и маховик в комплекте</t>
  </si>
  <si>
    <t>Угловой обратно запорный клапан  SCA 25 D ANG PN 52</t>
  </si>
  <si>
    <t>SCA 25 D ANG; колпачок и маховик в комплекте</t>
  </si>
  <si>
    <t>Прямой обратно запорный клапан  SCA 32 D STR PN 52</t>
  </si>
  <si>
    <t>SCA 32 D STR; колпачок и маховик в комплекте</t>
  </si>
  <si>
    <t>Угловой обратно запорный клапан  SCA 32 D ANG PN 52</t>
  </si>
  <si>
    <t>SCA 32 D ANG; колпачок и маховик в комплекте</t>
  </si>
  <si>
    <t>Прямой обратно запорный клапан  SCA 40 D STR PN 52</t>
  </si>
  <si>
    <t>SCA 40 D STR; колпачок и маховик в комплекте</t>
  </si>
  <si>
    <t>Угловой обратно запорный клапан  SCA 40 D ANG PN 52</t>
  </si>
  <si>
    <t>SCA 40 D ANG; колпачок и маховик в комплекте</t>
  </si>
  <si>
    <t>Прямой обратно запорный клапан  SCA 50 D STR PN 52</t>
  </si>
  <si>
    <t>SCA 50 D STR; колпачок и маховик в комплекте</t>
  </si>
  <si>
    <t>Угловой обратно запорный клапан  SCA 50 D ANG PN 52</t>
  </si>
  <si>
    <t>SCA 50 D ANG; колпачок и маховик в комплекте</t>
  </si>
  <si>
    <t>Прямой обратно запорный клапан  SCA 65 D STR PN 52</t>
  </si>
  <si>
    <t>SCA 65 D STR; колпачок и маховик в комплекте</t>
  </si>
  <si>
    <t>Угловой обратно запорный клапан  SCA 65 D ANG PN 52</t>
  </si>
  <si>
    <t>SCA 65 D ANG; колпачок и маховик в комплекте</t>
  </si>
  <si>
    <t>Прямой обратно запорный клапан  SCA 80 D STR PN 52</t>
  </si>
  <si>
    <t>SCA 80 D STR; колпачок и маховик в комплекте</t>
  </si>
  <si>
    <t>Угловой обратно запорный клапан  SCA 80 D ANG PN 52</t>
  </si>
  <si>
    <t>SCA 80 D ANG; колпачок и маховик в комплекте</t>
  </si>
  <si>
    <t>Прямой обратно запорный клапан  SCA 100 D STR PN 52</t>
  </si>
  <si>
    <t xml:space="preserve"> SCA 100 D STR  PN 52 колпачок и маховик в комплекте</t>
  </si>
  <si>
    <t>Угловой обратно запорный клапан  SCA 100 D ANG PN 52</t>
  </si>
  <si>
    <t xml:space="preserve"> SCA 100 D ANG  PN 52 колпачок и маховик в комплекте</t>
  </si>
  <si>
    <t>Прямой обратно запорный клапан  SCA 125 D STR PN 52</t>
  </si>
  <si>
    <t xml:space="preserve"> SCA 125 D STR  PN 52 колпачок и маховик в комплекте</t>
  </si>
  <si>
    <t>Угловой обратно запорный клапан  SCA 125 D ANG PN 52</t>
  </si>
  <si>
    <t xml:space="preserve"> SCA 125 D ANG  PN 52 колпачок и маховик в комплекте</t>
  </si>
  <si>
    <t>Прямой обратно запорный клапан  SCA 150 D STR PN 52</t>
  </si>
  <si>
    <t xml:space="preserve"> SCA 150 D STR PN 52 колпачок и маховик в комплекте</t>
  </si>
  <si>
    <t>Угловой обратно запорный клапан  SCA 150 D ANG PN 52</t>
  </si>
  <si>
    <t xml:space="preserve"> SCA 150 D ANG  PN 52 колпачок и маховик в комплекте</t>
  </si>
  <si>
    <t>Прямой обратно запорный клапан  SCA 100 D STR PN 40</t>
  </si>
  <si>
    <t>SCA 100 D STR; колпачок и маховик в комплекте</t>
  </si>
  <si>
    <t>Угловой обратно запорный клапан  SCA 100 D ANG PN 40</t>
  </si>
  <si>
    <t>SCA 100 D ANG; колпачок и маховик в комплекте</t>
  </si>
  <si>
    <t>Прямой обратно запорный клапан  SCA 125 D STR PN 40</t>
  </si>
  <si>
    <t>SCA 125 D STR; колпачок и маховик в комплекте</t>
  </si>
  <si>
    <t>Угловой обратно запорный клапан  SCA 125 D ANG PN 40</t>
  </si>
  <si>
    <t>SCA 125 D ANG; колпачок и маховик в комплекте</t>
  </si>
  <si>
    <t>Прямой обратно запорный клапан  SCA 150 D STR PN 40</t>
  </si>
  <si>
    <t>SCA 150 D STR; колпачок и маховик в комплекте</t>
  </si>
  <si>
    <t>Угловой обратно запорный клапан  SCA 150 D ANG PN 40</t>
  </si>
  <si>
    <t>SCA 150 D ANG; колпачок и маховик в комплекте</t>
  </si>
  <si>
    <t xml:space="preserve">Сетчатый фильтр </t>
  </si>
  <si>
    <t>Прямой сетчатый фильтр FIA 15 D STR PN 52</t>
  </si>
  <si>
    <t xml:space="preserve"> FIA</t>
  </si>
  <si>
    <t>FIA 15 D STR в комплекте со вставкой 150 мкм</t>
  </si>
  <si>
    <t>Угловой сетчатый фильтр FIA 15 D ANG PN 52</t>
  </si>
  <si>
    <t>FIA 15 D ANG в комплекте со вставкой 150 мкм</t>
  </si>
  <si>
    <t>Прямой сетчатый фильтр FIA 20 D STR PN 52</t>
  </si>
  <si>
    <t>FIA 20 D STR в комплекте со вставкой 150 мкм</t>
  </si>
  <si>
    <t>Угловой сетчатый фильтр FIA 20 D ANG PN 52</t>
  </si>
  <si>
    <t>FIA 20 D ANG в комплекте со вставкой 150 мкм</t>
  </si>
  <si>
    <t>Прямой сетчатый фильтр FIA 25 D STR PN 52</t>
  </si>
  <si>
    <t>FIA 25 D STR PN 52 в комплекте со вставкой 150 мкм</t>
  </si>
  <si>
    <t>Угловой сетчатый фильтр FIA 25 D ANG PN 52</t>
  </si>
  <si>
    <t>FIA 25 D ANG PN 52 в комплекте со вставкой 150 мкм</t>
  </si>
  <si>
    <t>Прямой сетчатый фильтр FIA 32 D STR PN 52</t>
  </si>
  <si>
    <t>FIA 32 D STR PN 52 в комплекте со вставкой 150 мкм</t>
  </si>
  <si>
    <t>Угловой сетчатый фильтр FIA 32 D ANG PN 52</t>
  </si>
  <si>
    <t>FIA 32 D ANG PN 52 в комплекте со вставкой 150 мкм</t>
  </si>
  <si>
    <t>Прямой сетчатый фильтр FIA 40 D STR PN 52</t>
  </si>
  <si>
    <t>FIA 40 D STR в комплекте со вставкой 150 мкм</t>
  </si>
  <si>
    <t>Угловой сетчатый фильтр FIA 40 D ANG PN 52</t>
  </si>
  <si>
    <t>FIA 40 D ANG в комплекте со вставкой 150 мкм</t>
  </si>
  <si>
    <t>Прямой сетчатый фильтр FIA 50 D STR PN 52</t>
  </si>
  <si>
    <t>FIA 50 D STR в комплекте со вставкой 150 мкм</t>
  </si>
  <si>
    <t>Угловой сетчатый фильтр FIA 50 D ANG PN 52</t>
  </si>
  <si>
    <t>FIA 50 D ANG  в комплекте со вставкой 150 мкм</t>
  </si>
  <si>
    <t>Прямой сетчатый фильтр  FIA 65 D STR PN 52</t>
  </si>
  <si>
    <t>FIA 65 D STR в комплекте со вставкой 250 мкм</t>
  </si>
  <si>
    <t>Угловой сетчатый фильтр FIA 65 D ANG PN 52</t>
  </si>
  <si>
    <t>FIA 65 D ANG  комплекте со вставкой 250 мкм</t>
  </si>
  <si>
    <t>Прямой сетчатый фильтр FIA 80 D STR PN 52</t>
  </si>
  <si>
    <t>FIA 80 D STR в комплекте со вставкой 250 мкм</t>
  </si>
  <si>
    <t>Угловой сетчатый фильтр FIA 80 D ANG PN 52</t>
  </si>
  <si>
    <t>FIA 80 D ANG в комплекте со вставкой 250 мкм</t>
  </si>
  <si>
    <t>Прямой сетчатый фильтр FIA 100 D STR PN 52</t>
  </si>
  <si>
    <t xml:space="preserve"> FIA 100 D STR PN 52 в комплекте со вставкой (250 мкм)</t>
  </si>
  <si>
    <t>Угловой сетчатый фильтр FIA 100 D ANG PN 52</t>
  </si>
  <si>
    <t xml:space="preserve"> FIA 100 D ANG PN 52 в комплекте со вставкой (250 мкм)</t>
  </si>
  <si>
    <t>Прямой сетчатый фильтр FIA 125 D STR PN 52</t>
  </si>
  <si>
    <t xml:space="preserve"> FIA 125 D STR PN 52 в комплекте со вставкой (250 мкм)</t>
  </si>
  <si>
    <t>Угловой сетчатый фильтр  FIA 125 D ANG PN 52</t>
  </si>
  <si>
    <t xml:space="preserve"> FIA 125 D ANG PN 52 в комплекте со вставкой (250 мкм)</t>
  </si>
  <si>
    <t>Прямой сетчатый фильтр FIA 150 D STR PN 52</t>
  </si>
  <si>
    <t xml:space="preserve"> FIA 150 D STR PN 52 в комплекте со вставкой (250 мкм)</t>
  </si>
  <si>
    <t>Угловой сетчатый фильтр FIA 150 D ANG PN 52</t>
  </si>
  <si>
    <t xml:space="preserve"> FIA 150 D ANG PN 52 в комплекте со вставкой (250 мкм)</t>
  </si>
  <si>
    <t>Прямой сетчатый фильтр FIA 100 D STR PN 40</t>
  </si>
  <si>
    <t>FIA 100 D STR в комплекте со вставкой 250 мкм</t>
  </si>
  <si>
    <t>Угловой сетчатый фильтр FIA 100 D ANG PN 40</t>
  </si>
  <si>
    <t>FIA 100 D ANG в комплекте со вставкой 250 мкм</t>
  </si>
  <si>
    <t>Прямой сетчатый фильтр  FIA 125 D STR PN 40</t>
  </si>
  <si>
    <t>FIA 125 D STR в комплекте со вставкой 250 мкм</t>
  </si>
  <si>
    <t>Угловой сетчатый фильтр  FIA 125 D ANG PN 40</t>
  </si>
  <si>
    <t>FIA 125 D ANG в комплекте со вставкой 250 мкм</t>
  </si>
  <si>
    <t>Прямой сетчатый фильтр  FIA 150 D STR PN 40</t>
  </si>
  <si>
    <t>FIA 150 D STR в комплекте со вставкой 250 мкм</t>
  </si>
  <si>
    <t>Угловой сетчатый фильтр  FIA 150 D ANG PN 40</t>
  </si>
  <si>
    <t>FIA 150 D ANG в комплекте со вставкой 250 мкм</t>
  </si>
  <si>
    <t>Прямой сетчатый фильтр FIA 200 D STR PN 40</t>
  </si>
  <si>
    <t>FIA 200 D STR в комплекте со вставкой 250 мкм</t>
  </si>
  <si>
    <t>Угловой сетчатый фильтр  FIA 200 D ANG PN 40</t>
  </si>
  <si>
    <t>FIA 200 D ANG в комплекте со вставкой 250 мкм</t>
  </si>
  <si>
    <t>Прямой сетчатый фильтр  FIA 250 D STR PN 40</t>
  </si>
  <si>
    <t>FIA 250 D STR в комплекте со вставкой 250 мкм</t>
  </si>
  <si>
    <t>Угловой сетчатый фильтр  FIA 250 D ANG PN 40</t>
  </si>
  <si>
    <t>FIA 250 D ANG в комплекте со вставкой 250 мкм</t>
  </si>
  <si>
    <t>Фильтрующая вставка</t>
  </si>
  <si>
    <t>Фильтрующая вставка  100 мкм для FIA 15-25</t>
  </si>
  <si>
    <t xml:space="preserve"> FIA-insert</t>
  </si>
  <si>
    <t>100 мкм</t>
  </si>
  <si>
    <t xml:space="preserve"> FIA 15-25 </t>
  </si>
  <si>
    <t xml:space="preserve">100 мкм (150 меш.) для FIA 15-20 </t>
  </si>
  <si>
    <t xml:space="preserve">Фильтрующая вставка </t>
  </si>
  <si>
    <t>Фильтрующая вставка  150 мкм для FIA 15-25</t>
  </si>
  <si>
    <t>150 мкм</t>
  </si>
  <si>
    <t>150 мкм (100 меш.) для FIA 15-20</t>
  </si>
  <si>
    <t>Фильтрующая вставка  250 мкм для FIA 15-25</t>
  </si>
  <si>
    <t>250 мкм</t>
  </si>
  <si>
    <t xml:space="preserve">250 мкм (72 меш.)   для FIA 15-20 </t>
  </si>
  <si>
    <t>Фильтрующая вставка  500 мкм для FIA 15-25</t>
  </si>
  <si>
    <t>500 мкм</t>
  </si>
  <si>
    <t xml:space="preserve">500 мкм (38 меш.)   для FIA 15-20  </t>
  </si>
  <si>
    <t>Фильтрующая вставка  100 мкм для FIA 32-40</t>
  </si>
  <si>
    <t>FIA 32-40</t>
  </si>
  <si>
    <t>100 мкм (150 меш.) для FIA 25-40</t>
  </si>
  <si>
    <t>Фильтрующая вставка  150 мкм для FIA 32-40</t>
  </si>
  <si>
    <t>150 мкм (100 меш.) для FIA 25-40</t>
  </si>
  <si>
    <t>Фильтрующая вставка  250 мкм для FIA 32-40</t>
  </si>
  <si>
    <t xml:space="preserve">250 мкм (72 меш.)   для FIA 25-40 </t>
  </si>
  <si>
    <t>Фильтрующая вставка  500 мкм для FIA 32-40</t>
  </si>
  <si>
    <t>500 мкм (38 меш.)   для FIA 25-40</t>
  </si>
  <si>
    <t>Фильтрующая вставка  100 мкм для FIA 50</t>
  </si>
  <si>
    <t>FIA 50</t>
  </si>
  <si>
    <t>100 мкм (150 меш.) для FIA 50</t>
  </si>
  <si>
    <t>Фильтрующая вставка  150 мкм для FIA 50</t>
  </si>
  <si>
    <t>150 мкм (100 меш.) для FIA 50</t>
  </si>
  <si>
    <t>Фильтрующая вставка  250 мкм для FIA 50</t>
  </si>
  <si>
    <t>250 мкм (72 меш.)   для FIA 50</t>
  </si>
  <si>
    <t>Фильтрующая вставка  500 мкм для FIA 50</t>
  </si>
  <si>
    <t>500 мкм (38 меш.)   для FIA 50</t>
  </si>
  <si>
    <t>Фильтрующая вставка  150 мкм для FIA 65</t>
  </si>
  <si>
    <t>FIA 65</t>
  </si>
  <si>
    <t>150 мкм (100 меш.) для FIA 65</t>
  </si>
  <si>
    <t>Фильтрующая вставка  250 мкм для FIA 65</t>
  </si>
  <si>
    <t>250 мкм (72 меш.)   для FIA 65</t>
  </si>
  <si>
    <t>Фильтрующая вставка  500 мкм для FIA 65</t>
  </si>
  <si>
    <t>500 мкм (38 меш.)   для FIA 65</t>
  </si>
  <si>
    <t>Фильтрующая вставка  150 мкм для FIA 80</t>
  </si>
  <si>
    <t>FIA 80</t>
  </si>
  <si>
    <t>150 мкм (100 меш.) для FIA 80</t>
  </si>
  <si>
    <t>Фильтрующая вставка  250 мкм для FIA 80</t>
  </si>
  <si>
    <t>250 мкм (72 меш.)   для FIA 80</t>
  </si>
  <si>
    <t>Фильтрующая вставка  500 мкм для FIA 80</t>
  </si>
  <si>
    <t>500 мкм (38 меш.)   для FIA 80</t>
  </si>
  <si>
    <t>Фильтрующая вставка  150 мкм для FIA 100</t>
  </si>
  <si>
    <t>FIA 100</t>
  </si>
  <si>
    <t>150 мкм (100 меш.) для FIA 100</t>
  </si>
  <si>
    <t>Фильтрующая вставка  250 мкм для FIA 100</t>
  </si>
  <si>
    <t>250 мкм (72 меш.)   для FIA 100</t>
  </si>
  <si>
    <t>Фильтрующая вставка  500 мкм для FIA 100</t>
  </si>
  <si>
    <t>500 мкм (38 меш.)   для FIA 100</t>
  </si>
  <si>
    <t>Фильтрующая вставка  150 мкм для FIA 125</t>
  </si>
  <si>
    <t>FIA 125</t>
  </si>
  <si>
    <t>150 мкм (100 меш.) для FIA 125</t>
  </si>
  <si>
    <t>Фильтрующая вставка  250 мкм для FIA 125</t>
  </si>
  <si>
    <t>250 мкм (72 меш.)   для FIA 125</t>
  </si>
  <si>
    <t>Фильтрующая вставка  500 мкм для FIA 125</t>
  </si>
  <si>
    <t>500 мкм (38 меш.)   для FIA 125</t>
  </si>
  <si>
    <t>Фильтрующая вставка  150 мкм для FIA 150</t>
  </si>
  <si>
    <t>FIA 150</t>
  </si>
  <si>
    <t>150 мкм (100 меш.) для FIA 150</t>
  </si>
  <si>
    <t>Фильтрующая вставка  250 мкм для FIA 150</t>
  </si>
  <si>
    <t>250 мкм (72 меш.)   для FIA 150</t>
  </si>
  <si>
    <t>Фильтрующая вставка  500 мкм для FIA 150</t>
  </si>
  <si>
    <t>500 мкм (38 меш.)   для FIA 150</t>
  </si>
  <si>
    <t>Фильтрующая вставка  150 мкм для FIA 200</t>
  </si>
  <si>
    <t>FIA 200</t>
  </si>
  <si>
    <t>150 мкм (100 меш.) для FIA 200</t>
  </si>
  <si>
    <t>Фильтрующая вставка  250 мкм для FIA 200</t>
  </si>
  <si>
    <t>250 мкм (72 меш.)   для FIA 200</t>
  </si>
  <si>
    <t>Фильтрующая вставка  500 мкм для FIA 200</t>
  </si>
  <si>
    <t>500 мкм (38 меш.)   для FIA 200</t>
  </si>
  <si>
    <t>Фильтрующая вставка  150 мкм для FIA 250</t>
  </si>
  <si>
    <t>FIA 250</t>
  </si>
  <si>
    <t>150 мкм (100 меш.) для FIA 250</t>
  </si>
  <si>
    <t>Фильтрующая вставка  250 мкм для FIA 250</t>
  </si>
  <si>
    <t>250 мкм (72 меш.)   для FIA 250</t>
  </si>
  <si>
    <t>148H3137R</t>
  </si>
  <si>
    <t>Фильтрующая вставка  500 мкм для FIA 250</t>
  </si>
  <si>
    <t>500 мкм (38 меш.)   для FIA 250</t>
  </si>
  <si>
    <t>148H3399R</t>
  </si>
  <si>
    <t>Корпус регулятора температуры масла</t>
  </si>
  <si>
    <t xml:space="preserve">Корпус регулятора температуры масла ORV 25 D </t>
  </si>
  <si>
    <t>ORV</t>
  </si>
  <si>
    <t>ORV 25</t>
  </si>
  <si>
    <t>3-х ходовой</t>
  </si>
  <si>
    <t xml:space="preserve"> -10…85</t>
  </si>
  <si>
    <t xml:space="preserve">Холодильные масла </t>
  </si>
  <si>
    <t xml:space="preserve"> ORV 25 D; под сварку встык</t>
  </si>
  <si>
    <t>148H3361R</t>
  </si>
  <si>
    <t xml:space="preserve">Корпус регулятора температуры масла ORV 32 D </t>
  </si>
  <si>
    <t>ORV 32</t>
  </si>
  <si>
    <t xml:space="preserve"> ORV 32 D; под сварку встык</t>
  </si>
  <si>
    <t>148H3402R</t>
  </si>
  <si>
    <t xml:space="preserve">Корпус регулятора температуры масла ORV 40 D </t>
  </si>
  <si>
    <t>ORV 40</t>
  </si>
  <si>
    <t xml:space="preserve"> ORV 40 D; под сварку встык</t>
  </si>
  <si>
    <t>148H3406R</t>
  </si>
  <si>
    <t>Корпус регулятора температуры масла ORV 50 D</t>
  </si>
  <si>
    <t>ORV 50</t>
  </si>
  <si>
    <t xml:space="preserve"> ORV 50 D; под сварку встык</t>
  </si>
  <si>
    <t>148H3409R</t>
  </si>
  <si>
    <t>Корпус регулятора температуры масла ORV 65 D</t>
  </si>
  <si>
    <t>ORV 65</t>
  </si>
  <si>
    <t xml:space="preserve"> ORV 65 D; под сварку встык</t>
  </si>
  <si>
    <t>148H3362R</t>
  </si>
  <si>
    <t>Корпус регулятора температуры масла ORV 80 D</t>
  </si>
  <si>
    <t>ORV 80</t>
  </si>
  <si>
    <t xml:space="preserve"> ORV 80 D; под сварку встык</t>
  </si>
  <si>
    <t xml:space="preserve">Элемент термостатический </t>
  </si>
  <si>
    <t>Элемент термостатический 49°C  для ORV 25-50</t>
  </si>
  <si>
    <t>ORV-insert</t>
  </si>
  <si>
    <t xml:space="preserve">49°C </t>
  </si>
  <si>
    <t>ORV 25-50</t>
  </si>
  <si>
    <t>Термостат 49°C  для ORV 25-50</t>
  </si>
  <si>
    <t>Элемент термостатический 60°C  для ORV 25-50</t>
  </si>
  <si>
    <t xml:space="preserve"> 60°C</t>
  </si>
  <si>
    <t>Термостат 60°C  для ORV 25-50</t>
  </si>
  <si>
    <t>Элемент термостатический 49°C для ORV 65-80</t>
  </si>
  <si>
    <t>ORV 65-80</t>
  </si>
  <si>
    <t>Термостат 49°C  для ORV 65-80</t>
  </si>
  <si>
    <t>Элемент термостатический 60°C для ORV 65-80</t>
  </si>
  <si>
    <t>Термостат 60°C  для ORV 65-80</t>
  </si>
  <si>
    <t>Запорный игольчатый клапан</t>
  </si>
  <si>
    <t xml:space="preserve">Угловой запорный клапан SNV-L ANG G1/2-W1/2 + заглушка </t>
  </si>
  <si>
    <t xml:space="preserve">SNV </t>
  </si>
  <si>
    <t>SNV-L G1/2-W1/2 ANG + заглушка</t>
  </si>
  <si>
    <t xml:space="preserve"> -50…150</t>
  </si>
  <si>
    <t>SNV-L G½" - W½" с заглушкой в комплекте G 1/2 
Мультипак: 5 клапанов + 5 заглушек</t>
  </si>
  <si>
    <t>Угловой запорный клапан SNV-L ANG G1/2-W1/2 + ниппель DN 10</t>
  </si>
  <si>
    <t>SNV-L G1/2-W1/2 ANG + ниппель DN 10</t>
  </si>
  <si>
    <t>SNV-L G½" - W½" с ниппеем DN 10  в комплекте
Мультипак: 5 клапанов + 5 ниппелей</t>
  </si>
  <si>
    <t>Угловой запорный клапан SNV-L ANG G1/2-W1/2 + ниппель DN 6</t>
  </si>
  <si>
    <t>SNV-L G1/2-W1/2 ANG + ниппель DN 6</t>
  </si>
  <si>
    <t>SNV-L G½" - W½" с ниппеем DN 6  в комплекте
Мультипак: 5 клапанов + 5 ниппелей</t>
  </si>
  <si>
    <t xml:space="preserve">Угловой запорный клапан SNV-S ANG G½ - G½ </t>
  </si>
  <si>
    <t>SNV-S G½ - G½  ANG + ниппель DN 10</t>
  </si>
  <si>
    <t>SNV-S  G½" - G½" с 2-мя ниппелями под сварку в комплекте. Мультипак: 5 клапанов + 10  ниппелей</t>
  </si>
  <si>
    <t xml:space="preserve">Прямой запорный клапан  SNV-S STR G½ - G½ </t>
  </si>
  <si>
    <t>SNV-S G½ - G½  STR + ниппель DN 10</t>
  </si>
  <si>
    <t>SNV-S  G½" - G½"; с 2-мя ниппелями под сварку в комплекте. Мультипак: 5 клапанов + 10 непиилей</t>
  </si>
  <si>
    <t>Угловой запорный клапан SNV-S ANG  FPT¼ - FPT¼</t>
  </si>
  <si>
    <t>SNV-S  FPT¼ - FPT¼ ANG + заглушка</t>
  </si>
  <si>
    <t>SNV-S  FPT¼" - FPT¼"; заглушка в комплекте (1 шт). Мультипак: 5 клапанов + 5 заглушек</t>
  </si>
  <si>
    <t xml:space="preserve">Угловой запорный клапан SNV-S ANG MPT¼ - FPT¼ </t>
  </si>
  <si>
    <t>SNV-S  MPT¼ - FPT¼  ANG + заглушка</t>
  </si>
  <si>
    <t>SNV-S MPT¼" - FPT¼"; заглушка  в комплекте (1 шт).
Мультипак: 5 клапанов + 5 заглушек</t>
  </si>
  <si>
    <t>Ревизионный набор прокладок DN 10-15. PM, EVRAT, CVH</t>
  </si>
  <si>
    <t>Spare Parts</t>
  </si>
  <si>
    <t xml:space="preserve">  10-15</t>
  </si>
  <si>
    <t>Ревизионный набор прокладок DN 20-25. PM, EVRAT, CVH</t>
  </si>
  <si>
    <t>20-25</t>
  </si>
  <si>
    <t>Ревизионный набор прокладок DN 32-40. PM, PMLX, EVRA</t>
  </si>
  <si>
    <t>32-40</t>
  </si>
  <si>
    <t>Ревизионный набор прокладок DN 50. Для клапанов PM, PMLX, EVRA</t>
  </si>
  <si>
    <t>Ревизионный набор прокладок DN 65. Для клапанов PM, PMLX</t>
  </si>
  <si>
    <t>Ревизионный набор прокладок DN 80. Для клапанов PM, PMLX</t>
  </si>
  <si>
    <t>Ревизионный набор прокладок DN 100. Для клапанов PM, PMLX</t>
  </si>
  <si>
    <t>Сальник DN 20-65  с комплектом уплотнений. Для клапанов ICS-R, ICLX-R, PM, PMLX</t>
  </si>
  <si>
    <t>Сальник DN 20-65. Для клапанов PM, PMLX</t>
  </si>
  <si>
    <t>Сальник DN 80-100  с комплектом уплотнений. Для клапанов ICS-R, ICLX-R, PM, PMLX</t>
  </si>
  <si>
    <t>Сальник DN 80-100. Для клапанов PM, PMLX</t>
  </si>
  <si>
    <t>Сальник DN 125. Для клапанов PM, PMLX</t>
  </si>
  <si>
    <t>Ревизионные набор прокладок для клапанов СVP, CVC,CVPP, EVM. Мультипак: 10 комплектов.</t>
  </si>
  <si>
    <t xml:space="preserve"> --</t>
  </si>
  <si>
    <t>Универсальная прокладка DN 15-25. Для клапанов SVA, REG, SCA, CHV, FIA. Мультипак 10 шт.</t>
  </si>
  <si>
    <r>
      <rPr>
        <sz val="11"/>
        <color rgb="FF000000"/>
        <rFont val="Minion Pro"/>
        <family val="2"/>
        <charset val="204"/>
      </rPr>
      <t xml:space="preserve">Универсальная прокладка DN 15-25. </t>
    </r>
    <r>
      <rPr>
        <b/>
        <sz val="11"/>
        <color rgb="FF000000"/>
        <rFont val="Minion Pro"/>
        <charset val="204"/>
      </rPr>
      <t>Мультипак 10 шт.</t>
    </r>
  </si>
  <si>
    <t>15-25</t>
  </si>
  <si>
    <t>Универсальная прокладка DN 32-40. Для клапанов SVA, REG, SCA, CHV, FIA. Мультипак 10 шт.</t>
  </si>
  <si>
    <r>
      <rPr>
        <sz val="11"/>
        <color rgb="FF000000"/>
        <rFont val="Minion Pro"/>
        <family val="2"/>
        <charset val="204"/>
      </rPr>
      <t xml:space="preserve">Универсальная прокладка DN 32-40. </t>
    </r>
    <r>
      <rPr>
        <b/>
        <sz val="11"/>
        <color rgb="FF000000"/>
        <rFont val="Minion Pro"/>
        <charset val="204"/>
      </rPr>
      <t>Мультипак 10 шт.</t>
    </r>
  </si>
  <si>
    <t>Универсальная прокладка DN 50. Для клапанов SVA, REG, SCA, CHV, FIA. Мультипак 10 шт.</t>
  </si>
  <si>
    <r>
      <rPr>
        <sz val="11"/>
        <color rgb="FF000000"/>
        <rFont val="Minion Pro"/>
        <family val="2"/>
        <charset val="204"/>
      </rPr>
      <t xml:space="preserve">Универсальная прокладка DN 50. </t>
    </r>
    <r>
      <rPr>
        <b/>
        <sz val="11"/>
        <color rgb="FF000000"/>
        <rFont val="Minion Pro"/>
        <charset val="204"/>
      </rPr>
      <t>Мультипак 10 шт.</t>
    </r>
  </si>
  <si>
    <t>Универсальная прокладка DN 65. Для клапанов SVA, REG, SCA, CHV, FIA. Мультипак 10 шт.</t>
  </si>
  <si>
    <r>
      <rPr>
        <sz val="11"/>
        <color rgb="FF000000"/>
        <rFont val="Minion Pro"/>
        <family val="2"/>
        <charset val="204"/>
      </rPr>
      <t xml:space="preserve">Универсальная прокладка DN 65. </t>
    </r>
    <r>
      <rPr>
        <b/>
        <sz val="11"/>
        <color rgb="FF000000"/>
        <rFont val="Minion Pro"/>
        <charset val="204"/>
      </rPr>
      <t>Мультипак 10 шт.</t>
    </r>
  </si>
  <si>
    <t>Универсальная прокладка DN 80. Для клапанов SVA, REG, SCA, CHV, FIA. Мультипак 10 шт.</t>
  </si>
  <si>
    <r>
      <rPr>
        <sz val="11"/>
        <color rgb="FF000000"/>
        <rFont val="Minion Pro"/>
        <family val="2"/>
        <charset val="204"/>
      </rPr>
      <t xml:space="preserve">Универсальная прокладка DN 80. </t>
    </r>
    <r>
      <rPr>
        <b/>
        <sz val="11"/>
        <color rgb="FF000000"/>
        <rFont val="Minion Pro"/>
        <charset val="204"/>
      </rPr>
      <t>Мультипак 10 шт.</t>
    </r>
  </si>
  <si>
    <t>Универсальная прокладка DN 100. Для клапанов SVA, REG, SCA, CHV, FIA. Мультипак 10 шт.</t>
  </si>
  <si>
    <r>
      <rPr>
        <sz val="11"/>
        <color rgb="FF000000"/>
        <rFont val="Minion Pro"/>
        <family val="2"/>
        <charset val="204"/>
      </rPr>
      <t xml:space="preserve">Универсальная прокладка DN 100. </t>
    </r>
    <r>
      <rPr>
        <b/>
        <sz val="11"/>
        <color rgb="FF000000"/>
        <rFont val="Minion Pro"/>
        <charset val="204"/>
      </rPr>
      <t>Мультипак 10 шт.</t>
    </r>
  </si>
  <si>
    <t>Универсальная прокладка DN 125. Для клапанов SVA, SCA, CHV, FIA. Мультипак 10 шт.</t>
  </si>
  <si>
    <r>
      <rPr>
        <sz val="11"/>
        <color rgb="FF000000"/>
        <rFont val="Minion Pro"/>
        <family val="2"/>
        <charset val="204"/>
      </rPr>
      <t xml:space="preserve">Универсальная прокладка DN 125. </t>
    </r>
    <r>
      <rPr>
        <b/>
        <sz val="11"/>
        <color rgb="FF000000"/>
        <rFont val="Minion Pro"/>
        <charset val="204"/>
      </rPr>
      <t>Мультипак 10 шт.</t>
    </r>
  </si>
  <si>
    <t>Универсальная прокладка DN 150. Для клапанов SVA, SCA, CHV, FIA. Мультипак 10 шт.</t>
  </si>
  <si>
    <r>
      <rPr>
        <sz val="11"/>
        <color rgb="FF000000"/>
        <rFont val="Minion Pro"/>
        <family val="2"/>
        <charset val="204"/>
      </rPr>
      <t xml:space="preserve">Универсальная прокладка DN 150. </t>
    </r>
    <r>
      <rPr>
        <b/>
        <sz val="11"/>
        <color rgb="FF000000"/>
        <rFont val="Minion Pro"/>
        <charset val="204"/>
      </rPr>
      <t>Мультипак 10 шт.</t>
    </r>
  </si>
  <si>
    <t>Универсальная прокладка DN 200. Для клапанов SVA, FIA. Мультипак 10 шт.</t>
  </si>
  <si>
    <r>
      <rPr>
        <sz val="11"/>
        <color rgb="FF000000"/>
        <rFont val="Minion Pro"/>
        <family val="2"/>
        <charset val="204"/>
      </rPr>
      <t xml:space="preserve">Универсальная прокладка DN 200. </t>
    </r>
    <r>
      <rPr>
        <b/>
        <sz val="11"/>
        <color rgb="FF000000"/>
        <rFont val="Minion Pro"/>
        <charset val="204"/>
      </rPr>
      <t>Мультипак 10 шт</t>
    </r>
    <r>
      <rPr>
        <sz val="11"/>
        <color rgb="FF000000"/>
        <rFont val="Minion Pro"/>
        <family val="2"/>
        <charset val="204"/>
      </rPr>
      <t>.</t>
    </r>
  </si>
  <si>
    <t>Универсальная прокладка DN 250. Для клапанов SVA, FIA. Мультипак 10 шт.</t>
  </si>
  <si>
    <r>
      <rPr>
        <sz val="11"/>
        <color rgb="FF000000"/>
        <rFont val="Minion Pro"/>
        <family val="2"/>
        <charset val="204"/>
      </rPr>
      <t xml:space="preserve">Универсальная прокладка DN 250. </t>
    </r>
    <r>
      <rPr>
        <b/>
        <sz val="11"/>
        <color rgb="FF000000"/>
        <rFont val="Minion Pro"/>
        <charset val="204"/>
      </rPr>
      <t>Мультипак 10 шт.</t>
    </r>
  </si>
  <si>
    <t>Универсальная прокладка DN 300. Для клапанов SVA, FIA. Мультипак 10 шт.</t>
  </si>
  <si>
    <r>
      <rPr>
        <sz val="11"/>
        <color rgb="FF000000"/>
        <rFont val="Minion Pro"/>
        <family val="2"/>
        <charset val="204"/>
      </rPr>
      <t xml:space="preserve">Универсальная прокладка DN 300. </t>
    </r>
    <r>
      <rPr>
        <b/>
        <sz val="11"/>
        <color rgb="FF000000"/>
        <rFont val="Minion Pro"/>
        <charset val="204"/>
      </rPr>
      <t>Мультипак 10 шт.</t>
    </r>
  </si>
  <si>
    <t>Комплект сальникового уплотнения DN 15-25. Для клапанов SVA, REG, SCA. Мультипак: 10 комплектов.</t>
  </si>
  <si>
    <r>
      <rPr>
        <sz val="11"/>
        <color rgb="FF000000"/>
        <rFont val="Minion Pro"/>
        <family val="2"/>
        <charset val="204"/>
      </rPr>
      <t xml:space="preserve">Комплект сальникового уплотнения DN 15-25.  </t>
    </r>
    <r>
      <rPr>
        <b/>
        <sz val="11"/>
        <color rgb="FF000000"/>
        <rFont val="Minion Pro"/>
        <charset val="204"/>
      </rPr>
      <t>Мультипак: 10 комплектов.</t>
    </r>
  </si>
  <si>
    <t>Комплект сальникового уплотнения DN 32-50. Для клапанов SVA, REG, SCA. Мультипак: 10 комплектов.</t>
  </si>
  <si>
    <r>
      <rPr>
        <sz val="11"/>
        <color rgb="FF000000"/>
        <rFont val="Minion Pro"/>
        <family val="2"/>
        <charset val="204"/>
      </rPr>
      <t xml:space="preserve">Комплект сальникового уплотнения DN 32-50. </t>
    </r>
    <r>
      <rPr>
        <b/>
        <sz val="11"/>
        <color rgb="FF000000"/>
        <rFont val="Minion Pro"/>
        <charset val="204"/>
      </rPr>
      <t>Мультипак: 10 комплектов.</t>
    </r>
  </si>
  <si>
    <t>32-50</t>
  </si>
  <si>
    <t>Комплект сальникового уплотнения DN 65. Для клапанов SVA, REG, SCA. Мультипак: 10 комплектов.</t>
  </si>
  <si>
    <t>Комплект сальникового уплотнения DN 65. Мультипак: 10 комплектов.</t>
  </si>
  <si>
    <t>Комплект сальникового уплотнения DN 80. Для клапанов SVA, REG, SCA. Мультипак: 10 комплектов.</t>
  </si>
  <si>
    <t>Комплект сальникового уплотнения DN 80.  Мультипак: 10 комплектов.</t>
  </si>
  <si>
    <t>Комплект сальникового уплотнения DN 100-150. Для клапанов SVA, SCA. Мультипак: 5 комплектов.</t>
  </si>
  <si>
    <t>Комплект сальникового уплотнения DN 100-150.Мультипак: 5 комплектов.</t>
  </si>
  <si>
    <t>100-150</t>
  </si>
  <si>
    <t>Комплект сальникового уплотнения DN 200. Для клапанов SVA</t>
  </si>
  <si>
    <t xml:space="preserve">Комплект сальникового уплотнения DN 200. </t>
  </si>
  <si>
    <t>Ремонтный комплект для SVA 15-25. Мультипак 5 комплектов</t>
  </si>
  <si>
    <t>Ремонтный комплект для SVA 32-40. Мультипак 5 комплектов</t>
  </si>
  <si>
    <t>Ремонтный комплект для SVA 50</t>
  </si>
  <si>
    <t>c</t>
  </si>
  <si>
    <t>Ремонтный комплект для SVA 65</t>
  </si>
  <si>
    <t>Ремонтный комплект для SVA 80</t>
  </si>
  <si>
    <t>b</t>
  </si>
  <si>
    <t>Ремонтный комплект для SVA 100</t>
  </si>
  <si>
    <t>Ремонтный комплект для SVA 125</t>
  </si>
  <si>
    <t>Ремонтный комплект для SVA 150</t>
  </si>
  <si>
    <t>Ремонтный комплект для SVA 200</t>
  </si>
  <si>
    <t>Ремонтный комплект для SVA 250</t>
  </si>
  <si>
    <t>Ремонтный комплект для SVA 300</t>
  </si>
  <si>
    <t>Ремонтный комплект для SVA 350</t>
  </si>
  <si>
    <t xml:space="preserve">Смотровое стекло </t>
  </si>
  <si>
    <t>Смотровое стекло SG-R 25 D PN 52</t>
  </si>
  <si>
    <t xml:space="preserve">SG-R </t>
  </si>
  <si>
    <t xml:space="preserve">SG-R 25D </t>
  </si>
  <si>
    <t>Смотровое стекло LLG-R 335</t>
  </si>
  <si>
    <t>LLG-R 185</t>
  </si>
  <si>
    <t>LLG-R 335</t>
  </si>
  <si>
    <t>Смотровое стекло LLG-R 590</t>
  </si>
  <si>
    <t>LLG-R 590</t>
  </si>
  <si>
    <t>Смотровое стекло LLG-R 740</t>
  </si>
  <si>
    <t>LLG-R 740</t>
  </si>
  <si>
    <t>Смотровое стекло LLG-R 995</t>
  </si>
  <si>
    <t>LLG-R 995</t>
  </si>
  <si>
    <t>Смотровое стекло LLG-R 1145</t>
  </si>
  <si>
    <t>LLG-R 1145</t>
  </si>
  <si>
    <t>Смотровое стекло LLG-R 1550</t>
  </si>
  <si>
    <t>LLG-R 1550</t>
  </si>
  <si>
    <t>Реле уровня жидкости ELS 1.1</t>
  </si>
  <si>
    <t>ELS</t>
  </si>
  <si>
    <t>R717 (аммиак), R744 (диоксид углерода), R507A, R410A, R134a, R22, R404A, R407C, холодильные масла, пропиленгликоль и этиленгликоль</t>
  </si>
  <si>
    <t>Наруж. резьба G 3/4"</t>
  </si>
  <si>
    <t>Штуцер под приварку для ELS</t>
  </si>
  <si>
    <t>Штуцер под сварку</t>
  </si>
  <si>
    <t>Внутр. резьба G 3/4"</t>
  </si>
  <si>
    <t>Предохранительный клапаны SFV-R 20 c уставкой 12 бар</t>
  </si>
  <si>
    <t>SFV-R</t>
  </si>
  <si>
    <t>SFV-R 20</t>
  </si>
  <si>
    <t xml:space="preserve"> -50…100</t>
  </si>
  <si>
    <t>Вход - резьба G 1 1/4"
Выход - резьба G 1 1/2"</t>
  </si>
  <si>
    <t>Предохранительный клапаны SFV-R 20 c уставкой 13 бар</t>
  </si>
  <si>
    <t>Предохранительный клапаны SFV-R 20 c уставкой 14 бар</t>
  </si>
  <si>
    <t>Предохранительный клапаны SFV-R 20 c уставкой 15 бар</t>
  </si>
  <si>
    <t>Предохранительный клапаны SFV-R 20 c уставкой 16 бар</t>
  </si>
  <si>
    <t>Предохранительный клапаны SFV-R 20 c уставкой 17 бар</t>
  </si>
  <si>
    <t>Предохранительный клапаны SFV-R 20 c уставкой 18 бар</t>
  </si>
  <si>
    <t>Предохранительный клапаны SFV-R 20 c уставкой 19 бар</t>
  </si>
  <si>
    <t>Предохранительный клапаны SFV-R 20 c уставкой 20 бар</t>
  </si>
  <si>
    <t>Предохранительный клапаны SFV-R 20 c уставкой 21 бар</t>
  </si>
  <si>
    <t>Предохранительный клапаны SFV-R 20 c уставкой 22 бар</t>
  </si>
  <si>
    <t>Предохранительный клапаны SFV-R 20 c уставкой 23 бар</t>
  </si>
  <si>
    <t>Предохранительный клапаны SFV-R 20 c уставкой 24 бар</t>
  </si>
  <si>
    <t>Предохранительный клапаны SFV-R 20 c уставкой 25 бар</t>
  </si>
  <si>
    <t>Предохранительный клапаны SFV-R 20 c уставкой 26 бар</t>
  </si>
  <si>
    <t>Предохранительный клапаны SFV-R 20 c уставкой 27 бар</t>
  </si>
  <si>
    <t>Предохранительный клапаны SFV-R 20 c уставкой 28 бар</t>
  </si>
  <si>
    <t>Предохранительный клапаны SFV-R 20 c уставкой 29 бар</t>
  </si>
  <si>
    <t>Предохранительный клапаны SFV-R 20 c уставкой 30 бар</t>
  </si>
  <si>
    <t>Предохранительный клапаны SFV-R 20 c уставкой 31 бар</t>
  </si>
  <si>
    <t>Предохранительный клапаны SFV-R 20 c уставкой 32 бар</t>
  </si>
  <si>
    <t>Предохранительный клапаны SFV-R 20 c уставкой 33 бар</t>
  </si>
  <si>
    <t>Предохранительный клапаны SFV-R 20 c уставкой 34 бар</t>
  </si>
  <si>
    <t>Предохранительный клапаны SFV-R 20 c уставкой 35 бар</t>
  </si>
  <si>
    <t>Предохранительный клапаны SFV-R 20 c уставкой 36 бар</t>
  </si>
  <si>
    <t>Предохранительный клапаны SFV-R 20 c уставкой 37 бар</t>
  </si>
  <si>
    <t>Предохранительный клапаны SFV-R 20 c уставкой 38 бар</t>
  </si>
  <si>
    <t>Предохранительный клапаны SFV-R 20 c уставкой 39 бар</t>
  </si>
  <si>
    <t>Предохранительный клапаны SFV-R 20 c уставкой 40 бар</t>
  </si>
  <si>
    <t>Предохранительный клапаны SFV-R 25 c уставкой 12 бар</t>
  </si>
  <si>
    <t>SFV-R 25</t>
  </si>
  <si>
    <t>Предохранительный клапаны SFV-R 25 c уставкой 13 бар</t>
  </si>
  <si>
    <t>Предохранительный клапаны SFV-R 25 c уставкой 14 бар</t>
  </si>
  <si>
    <t>Предохранительный клапаны SFV-R 25 c уставкой 15 бар</t>
  </si>
  <si>
    <t>Предохранительный клапаны SFV-R 25 c уставкой 16 бар</t>
  </si>
  <si>
    <t>Предохранительный клапаны SFV-R 25 c уставкой 17 бар</t>
  </si>
  <si>
    <t>Предохранительный клапаны SFV-R 25 c уставкой 18 бар</t>
  </si>
  <si>
    <t>Предохранительный клапаны SFV-R 25 c уставкой 19 бар</t>
  </si>
  <si>
    <t>Предохранительный клапаны SFV-R 25 c уставкой 20 бар</t>
  </si>
  <si>
    <t>Предохранительный клапаны SFV-R 25 c уставкой 21 бар</t>
  </si>
  <si>
    <t>Предохранительный клапаны SFV-R 25 c уставкой 22 бар</t>
  </si>
  <si>
    <t>Предохранительный клапаны SFV-R 25 c уставкой 23 бар</t>
  </si>
  <si>
    <t>Предохранительный клапаны SFV-R 25 c уставкой 24 бар</t>
  </si>
  <si>
    <t>Предохранительный клапаны SFV-R 25 c уставкой 25 бар</t>
  </si>
  <si>
    <t>Предохранительный клапаны SFV-R 25 c уставкой 26 бар</t>
  </si>
  <si>
    <t>Предохранительный клапаны SFV-R 25 c уставкой 27 бар</t>
  </si>
  <si>
    <t>Предохранительный клапаны SFV-R 25 c уставкой 28 бар</t>
  </si>
  <si>
    <t>Предохранительный клапаны SFV-R 25 c уставкой 29 бар</t>
  </si>
  <si>
    <t>Предохранительный клапаны SFV-R 25 c уставкой 30 бар</t>
  </si>
  <si>
    <t>Предохранительный клапаны SFV-R 25 c уставкой 31 бар</t>
  </si>
  <si>
    <t>Предохранительный клапаны SFV-R 25 c уставкой 32 бар</t>
  </si>
  <si>
    <t>Предохранительный клапаны SFV-R 25 c уставкой 33 бар</t>
  </si>
  <si>
    <t>Предохранительный клапаны SFV-R 25 c уставкой 34 бар</t>
  </si>
  <si>
    <t>Предохранительный клапаны SFV-R 25 c уставкой 35 бар</t>
  </si>
  <si>
    <t>Предохранительный клапаны SFV-R 25 c уставкой 36 бар</t>
  </si>
  <si>
    <t>Предохранительный клапаны SFV-R 25 c уставкой 37 бар</t>
  </si>
  <si>
    <t>Предохранительный клапаны SFV-R 25 c уставкой 38 бар</t>
  </si>
  <si>
    <t>Предохранительный клапаны SFV-R 25 c уставкой 39 бар</t>
  </si>
  <si>
    <t>Предохранительный клапаны SFV-R 25 c уставкой 40 бар</t>
  </si>
  <si>
    <t>Запорные клапаны DSV-F 25/25 с комплектом ответных фланцев</t>
  </si>
  <si>
    <t>DSV-F</t>
  </si>
  <si>
    <t>DSV-F 25/25</t>
  </si>
  <si>
    <t>Вход - DIN 25
Выход  - DIN 25</t>
  </si>
  <si>
    <t>Запорные клапаны DSV-F 32/25 с комплектом ответных фланцев</t>
  </si>
  <si>
    <t>DSV-F 32/25</t>
  </si>
  <si>
    <t>Запорные клапаны DSV-F 32/32 с комплектом ответных фланцев</t>
  </si>
  <si>
    <t>DSV-F 32/32</t>
  </si>
  <si>
    <r>
      <rPr>
        <sz val="11"/>
        <color rgb="FF000000"/>
        <rFont val="Minion Pro"/>
        <family val="2"/>
        <charset val="204"/>
      </rPr>
      <t>Регулятор температуры масла ORV 25 D с термомтатом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</si>
  <si>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25 D с термостатом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</si>
  <si>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25 D с термомтатом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</si>
  <si>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25 D с термостатом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</si>
  <si>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32 D с термомтатом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</si>
  <si>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32 D с термостатом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</si>
  <si>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32 D с термомтатом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</si>
  <si>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32 D с термостатом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</si>
  <si>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40 D с термомтатом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</si>
  <si>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40 D с термостатом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</si>
  <si>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40 D с термомтатом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</si>
  <si>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40 D с термостатом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</si>
  <si>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50 D с термомтатом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</si>
  <si>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50 D с термостатом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</si>
  <si>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50 D с термомтатом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</si>
  <si>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50 D с термостатом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</si>
  <si>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65 D с термомтатом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</si>
  <si>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65 D с термостатом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</si>
  <si>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65 D с термомтатом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</si>
  <si>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65 D с термостатом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</si>
  <si>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80 D с термомтатом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</si>
  <si>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80 D с термостатом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</si>
  <si>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80 D с термомтатом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</si>
  <si>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80 D с термостатом 60</t>
    </r>
    <r>
      <rPr>
        <sz val="10"/>
        <color rgb="FF000000"/>
        <rFont val="Calibri"/>
        <family val="2"/>
        <charset val="1"/>
      </rPr>
      <t>⁰С</t>
    </r>
  </si>
  <si>
    <t>Прямой запорный клапан  SVA 100 G STR PN 40</t>
  </si>
  <si>
    <t>Под сварку встык GOST</t>
  </si>
  <si>
    <t xml:space="preserve"> SVA 100 G STR; колпачок и маховик в комплекте; под сварку встык</t>
  </si>
  <si>
    <t>Угловой запорный клапан  SVA 100 G ANG PN 40</t>
  </si>
  <si>
    <t xml:space="preserve"> SVA 100 G ANG; колпачок и маховик в комплекте; под сварку встык</t>
  </si>
  <si>
    <t>Прямой запорный клапан  SVA 125 G STR PN 40</t>
  </si>
  <si>
    <t xml:space="preserve"> SVA 125 G STR; колпачок и маховик в комплекте; под сварку встык</t>
  </si>
  <si>
    <t>Угловой запорный клапан  SVA 125 G ANG PN 40</t>
  </si>
  <si>
    <t xml:space="preserve"> SVA 125 G ANG; колпачок и маховик в комплекте; под сварку встык</t>
  </si>
  <si>
    <t>Прямой запорный клапан  SVA 150 G STR PN 40</t>
  </si>
  <si>
    <t xml:space="preserve"> SVA 150 G STR; колпачок и маховик в комплекте; под сварку встык</t>
  </si>
  <si>
    <t>Угловой запорный клапан  SVA 150 G ANG PN 40</t>
  </si>
  <si>
    <t xml:space="preserve"> SVA 150 G ANG; колпачок и маховик в комплекте; под сварку встык</t>
  </si>
  <si>
    <t>Прямой запорный клапан  SVA 100 G STR PN 52</t>
  </si>
  <si>
    <t>Угловой запорный клапан  SVA 100 G ANG PN 52</t>
  </si>
  <si>
    <t>Прямой запорный клапан  SVA 125 G STR PN 52</t>
  </si>
  <si>
    <t>Угловой запорный клапан  SVA 125 G ANG PN 52</t>
  </si>
  <si>
    <t>Прямой запорный клапан  SVA 150 G STR PN 52</t>
  </si>
  <si>
    <t>Прямой запорный клапан  SVA 150 G ANG PN 52</t>
  </si>
  <si>
    <t>Прямой сетчатый фильтр FIA 100 G STR PN 40</t>
  </si>
  <si>
    <t>FIA</t>
  </si>
  <si>
    <t>Угловой сетчатый фильтр FIA 100 G ANG PN 40</t>
  </si>
  <si>
    <t>Прямой сетчатый фильтр  FIA 125 G STR PN 40</t>
  </si>
  <si>
    <t>Угловой сетчатый фильтр  FIA 125 G ANG PN 40</t>
  </si>
  <si>
    <t>Прямой сетчатый фильтр  FIA 150 G STR PN 40</t>
  </si>
  <si>
    <t>Угловой сетчатый фильтр  FIA 150 G ANG PN 40</t>
  </si>
  <si>
    <t>Прямой сетчатый фильтр FIA 100 G STR PN 52</t>
  </si>
  <si>
    <t>Угловой сетчатый фильтр FIA 100 G ANG PN 52</t>
  </si>
  <si>
    <t>Прямой сетчатый фильтр FIA 125 G STR PN 52</t>
  </si>
  <si>
    <t>Угловой сетчатый фильтр  FIA 125 G ANG PN 52</t>
  </si>
  <si>
    <t>Прямой сетчатый фильтр FIA 150 G STR PN 52</t>
  </si>
  <si>
    <t>Угловой сетчатый фильтр FIA 150 G ANG PN 52</t>
  </si>
  <si>
    <t>Прямой обратный клапан  CHV 100 G STR PN 40</t>
  </si>
  <si>
    <t>CHV</t>
  </si>
  <si>
    <t>Угловой обратный клапан  CHV 100 G ANG PN 40</t>
  </si>
  <si>
    <t>Прямой обратный клапан  CHV 125 G STR PN 40</t>
  </si>
  <si>
    <t>Угловой обратный клапан  CHV 125 G ANG PN 40</t>
  </si>
  <si>
    <t>Прямой обратный клапан  CHV 150 G STR PN 40</t>
  </si>
  <si>
    <t>Угловой обратный клапан  CHV 150 G ANG PN 40</t>
  </si>
  <si>
    <t>Прямой обратный клапан  CHV 100 G STR PN 52</t>
  </si>
  <si>
    <t>Угловой обратный клапан  CHV 100 G ANG PN 52</t>
  </si>
  <si>
    <t>Прямой обратный клапан  CHV 125 G STR PN 52</t>
  </si>
  <si>
    <t>Угловой обратный клапан  CHV 125 G ANG PN 52</t>
  </si>
  <si>
    <t>Прямой обратный клапан  CHV 150 G STR PN 52</t>
  </si>
  <si>
    <t>Угловой обратный клапан  CHV 150 G ANG PN 52</t>
  </si>
  <si>
    <t>Прямой обратно запорный клапан  SCA 100 G STR PN 40</t>
  </si>
  <si>
    <t>SCA</t>
  </si>
  <si>
    <t>Угловой обратно запорный клапан  SCA 100 G ANG PN 40</t>
  </si>
  <si>
    <t>Прямой обратно запорный клапан  SCA 125 G STR PN 40</t>
  </si>
  <si>
    <t>Угловой обратно запорный клапан  SCA 125 G ANG PN 40</t>
  </si>
  <si>
    <t>Прямой обратно запорный клапан  SCA 150 G STR PN 40</t>
  </si>
  <si>
    <t>Угловой обратно запорный клапан  SCA 150 G ANG PN 40</t>
  </si>
  <si>
    <t>Прямой обратно запорный клапан  SCA 100 G STR PN 52</t>
  </si>
  <si>
    <t>Угловой обратно запорный клапан  SCA 100 G ANG PN 52</t>
  </si>
  <si>
    <t>Прямой обратно запорный клапан  SCA 125 G STR PN 52</t>
  </si>
  <si>
    <t>Угловой обратно запорный клапан  SCA 125 G ANG PN 52</t>
  </si>
  <si>
    <t>Прямой обратно запорный клапан  SCA 150 G STR PN 52</t>
  </si>
  <si>
    <t>Угловой обратно запорный клапан  SCA 150 G ANG PN 52</t>
  </si>
  <si>
    <t>Клапан-регулятор давления с пилотным управлением PM 20 G</t>
  </si>
  <si>
    <t>Фланец. Ответные фланцы под сварку GOST</t>
  </si>
  <si>
    <t>Клапан-регулятор давления с пилотным управлением PM 25 G</t>
  </si>
  <si>
    <t>Клапан-регулятор давления с пилотным управлением PM 32 G</t>
  </si>
  <si>
    <t>Клапан-регулятор давления с пилотным управлением PM 40 G</t>
  </si>
  <si>
    <t>Клапан-регулятор давления с пилотным управлением PM 50 G</t>
  </si>
  <si>
    <t>Клапан-регулятор давления с пилотным управлением PM 100 G</t>
  </si>
  <si>
    <t>Клапан-регулятор давления ICS-R 20 SD</t>
  </si>
  <si>
    <t>ICS-R 20 SD</t>
  </si>
  <si>
    <t xml:space="preserve">Под пайку SD </t>
  </si>
  <si>
    <t>Клапан-регулятор давления ICS-R 25 SD</t>
  </si>
  <si>
    <t>ICS-R 25 SD</t>
  </si>
  <si>
    <t>ICS-R 25 SD PN 52</t>
  </si>
  <si>
    <t>Клапан-регулятор давления ICS-R 32 SD</t>
  </si>
  <si>
    <t>ICS-R 32 SD</t>
  </si>
  <si>
    <t>ICS-R 32 SD PN 52</t>
  </si>
  <si>
    <t>Клапан-регулятор давления ICS-R 40 SD</t>
  </si>
  <si>
    <t>ICS-R 40 SD</t>
  </si>
  <si>
    <t>ICS-R 40 SD PN 52</t>
  </si>
  <si>
    <t>Клапан-регулятор давления ICS-R 50 SD</t>
  </si>
  <si>
    <t>ICS-R 50 SD</t>
  </si>
  <si>
    <t>ICS-R 50 SD PN 52</t>
  </si>
  <si>
    <t>Клапан-регулятор давления ICS-R 65 SD</t>
  </si>
  <si>
    <t>ICS-R 65 SD</t>
  </si>
  <si>
    <t>ICS-R 65 SD PN 52</t>
  </si>
  <si>
    <r>
      <rPr>
        <sz val="11"/>
        <color rgb="FF000000"/>
        <rFont val="Minion Pro"/>
        <family val="2"/>
        <charset val="204"/>
      </rPr>
      <t>Регулятор температуры масла ORV 25 SD с термомтатом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</si>
  <si>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25 SD с термостатом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</si>
  <si>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25 SD с термомтатом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</si>
  <si>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25 SD с термостатом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</si>
  <si>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32 SD с термомтатом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</si>
  <si>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32 SD с термостатом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</si>
  <si>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32 SD с термомтатом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</si>
  <si>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32 SD с термостатом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</si>
  <si>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40 SD с термомтатом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</si>
  <si>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40 SD с термостатом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</si>
  <si>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40 SD с термомтатом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</si>
  <si>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40 SD с термостатом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</si>
  <si>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50 SD с термомтатом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</si>
  <si>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50 SD с термостатом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</si>
  <si>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50 SD с термомтатом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</si>
  <si>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50 SD с термостатом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</si>
  <si>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65 SD с термомтатом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</si>
  <si>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65 SD с термостатом 49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</si>
  <si>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Регулятор температуры масла ORV 65 SD с термомтатом 60</t>
    </r>
    <r>
      <rPr>
        <sz val="10"/>
        <color rgb="FF000000"/>
        <rFont val="Calibri"/>
        <family val="2"/>
        <charset val="1"/>
      </rPr>
      <t>⁰С</t>
    </r>
  </si>
  <si>
    <r>
      <rPr>
        <sz val="11"/>
        <color rgb="FF000000"/>
        <rFont val="Minion Pro"/>
        <family val="2"/>
        <charset val="204"/>
      </rPr>
      <t>ORV 65 SD с термостатом 60</t>
    </r>
    <r>
      <rPr>
        <sz val="11"/>
        <color rgb="FF000000"/>
        <rFont val="Calibri"/>
        <family val="2"/>
        <charset val="1"/>
      </rPr>
      <t>⁰С</t>
    </r>
  </si>
  <si>
    <t>Комплект фланцев DN 20 для одиночной установки предохранительного клапана SFV-R 20/25</t>
  </si>
  <si>
    <t>Под сварку встык DIN 20</t>
  </si>
  <si>
    <t>Комплект фланцев DN 25 для одиночной установки предохранительного клапана SFV-R 20/25</t>
  </si>
  <si>
    <t>Под сварку встык DIN 25</t>
  </si>
  <si>
    <t>Комплект фланцев DN 32 для одиночной установки предохранительного клапана SFV-R 20/25</t>
  </si>
  <si>
    <t>Под сварку встык DIN 32</t>
  </si>
  <si>
    <t>Заглушка типа "А" с прокладками для клапанов ICS-R/ PM</t>
  </si>
  <si>
    <t>Accessories</t>
  </si>
  <si>
    <t>Заглушка типа "B" с прокладками для клапанов ICS-R/ PM</t>
  </si>
  <si>
    <t>Ревизионный комплект прокладочных уплотнений для клапанов ICS-R 20-25</t>
  </si>
  <si>
    <t>Ревизионный комплект прокладочных уплотнений для клапанов ICS-R 32-40</t>
  </si>
  <si>
    <t>Ревизионный комплект прокладочных уплотнений для клапанов ICS-R 50</t>
  </si>
  <si>
    <t>Ревизионный комплект прокладочных уплотнений для клапанов ICS-R 65-80</t>
  </si>
  <si>
    <t>Ревизионный комплект прокладочных уплотнений для клапанов ICS-R 100</t>
  </si>
  <si>
    <t>Ревизионный комплект прокладочных уплотнений для клапанов ICS-R 125</t>
  </si>
  <si>
    <t>Ревизионный комплект прокладочных уплотнений для клапанов ICS-R 150</t>
  </si>
  <si>
    <t>Функциональный модуль для клапана ICS-R 20-25</t>
  </si>
  <si>
    <t xml:space="preserve">Функциональный модуль для клапана ICS-R 32-40 </t>
  </si>
  <si>
    <t xml:space="preserve">Функциональный модуль для клапана ICS-R 50 </t>
  </si>
  <si>
    <t xml:space="preserve">Функциональный модуль для клапана ICS-R 65-80 </t>
  </si>
  <si>
    <t>Функциональный модуль для клапана ICS-R 100</t>
  </si>
  <si>
    <t xml:space="preserve">Функциональный модуль для клапана ICS-R 125 </t>
  </si>
  <si>
    <t xml:space="preserve">Функциональный модуль для клапана ICS-R 150 </t>
  </si>
  <si>
    <t>Ревизионный комплект прокладочных уплотнений для клапанов ICLX-R 32-40</t>
  </si>
  <si>
    <t>Ревизионный комплект прокладочных уплотнений для клапанов ICLX-R 50</t>
  </si>
  <si>
    <t>Ревизионный комплект прокладочных уплотнений для клапанов ICLX-R 65-80</t>
  </si>
  <si>
    <t>Ревизионный комплект прокладочных уплотнений для клапанов ICLX-R 100</t>
  </si>
  <si>
    <t>Ревизионный комплект прокладочных уплотнений для клапанов ICLX-R 125</t>
  </si>
  <si>
    <t>Ревизионный комплект прокладочных уплотнений для клапанов ICLX-R 150</t>
  </si>
  <si>
    <t xml:space="preserve">Функциональный модуль для клапана ICLX-R 32-40 </t>
  </si>
  <si>
    <t xml:space="preserve">Функциональный модуль для клапана ICLX-R 50 </t>
  </si>
  <si>
    <t xml:space="preserve">Функциональный модуль для клапана ICLX-R 65-80 </t>
  </si>
  <si>
    <t xml:space="preserve">Функциональный модуль для клапана ICLX-R 100 </t>
  </si>
  <si>
    <t xml:space="preserve">Функциональный модуль для клапана ICLX-R 125 </t>
  </si>
  <si>
    <t>Функциональный модуль для клапана ICLX-R 150</t>
  </si>
  <si>
    <t>Колпачок с прокладкой для SVA, SCA, REG (DN 15-25).</t>
  </si>
  <si>
    <t xml:space="preserve">Колпачок с прокладкой для SVA, SCA, REG (DN 32-50). </t>
  </si>
  <si>
    <t>Колпачок с прокладкой для SVA, SCA, REG (DN 65)</t>
  </si>
  <si>
    <t>Колпачок с прокладкой для SVA, SCA (DN 80-100)</t>
  </si>
  <si>
    <t>Колпачок с прокладкой для SVA, SCA (DN 125-150)</t>
  </si>
  <si>
    <t>Колпачок с прокладкой SVA (DN 200-350)</t>
  </si>
  <si>
    <t>Маховик (60 мм) для клапанов SVA, REG, SCA DN 15-25</t>
  </si>
  <si>
    <t>Маховик (80 мм) для клапанов SVA, REG, SCA DN 32-40</t>
  </si>
  <si>
    <t>Маховик (100 мм) для клапанов SVA, REG, SCA DN 50</t>
  </si>
  <si>
    <t>Маховик (120 мм) для клапанов SVA, REG, SCA DN 65</t>
  </si>
  <si>
    <t>Маховик (160 мм) для клапанов SVA, SCA DN 80</t>
  </si>
  <si>
    <t>Маховик (180 мм) для клапанов SVA, SCA DN 100</t>
  </si>
  <si>
    <t>Маховик (200 мм) для клапанов SVA, SCA DN 125</t>
  </si>
  <si>
    <t>Маховик (250 мм) для клапанов SVA SCA DN 150</t>
  </si>
  <si>
    <t>Маховик (350 мм) для клапанов SVA DN 200</t>
  </si>
  <si>
    <t>Маховик (400 мм) для клапанов SVA DN 250-350</t>
  </si>
  <si>
    <t>Ремонтный комплект сердечника для клапанов EVM-NC и EVRA. Мультипак: 5 комплектов.</t>
  </si>
  <si>
    <t>Ремонтный комплект сердечника для клапанов EVM-NC и EVRA. Мультипак 5 комплектов.</t>
  </si>
  <si>
    <t>Колпачок с прокладкой для SNV, CVP, CVC, CVPP</t>
  </si>
  <si>
    <t>Кольцевая прокладка для EVRA(T) 10-25. Мультипак: 20 штук</t>
  </si>
  <si>
    <t>Кольцевая прокладка для EVRA(T) 10-25</t>
  </si>
  <si>
    <t>Клапанная станция ICF-R 15-2-1</t>
  </si>
  <si>
    <t>ICF-R</t>
  </si>
  <si>
    <t>ICF-R 15-2-1</t>
  </si>
  <si>
    <t>Клапанная станция ICF-R 20-2-1</t>
  </si>
  <si>
    <t>ICF-R 20-2-1</t>
  </si>
  <si>
    <t>Клапанная станция ICF-R 25-4-1</t>
  </si>
  <si>
    <t>ICF-R 25-4-1</t>
  </si>
  <si>
    <t>Клапанная станция ICF-R 32-4-1</t>
  </si>
  <si>
    <t>ICF-R 32-4-1</t>
  </si>
  <si>
    <t>Клапанная станция ICF-R 40-4-1</t>
  </si>
  <si>
    <t>ICF-R 40-4-1</t>
  </si>
  <si>
    <t>Клапанная станция ICF-R 25-4-3</t>
  </si>
  <si>
    <t>ICF-R 25-4-3</t>
  </si>
  <si>
    <t>Клапанная станция ICF-R 32-4-3</t>
  </si>
  <si>
    <t>ICF-R 32-4-3</t>
  </si>
  <si>
    <t>Клапанная станция ICF-R 40-4-3</t>
  </si>
  <si>
    <t>ICF-R 40-4-3</t>
  </si>
  <si>
    <t>Клапанная станция ICF-R 25-4-7</t>
  </si>
  <si>
    <t>ICF-R 25-4-7</t>
  </si>
  <si>
    <t>Клапанная станция ICF-R 32-4-7</t>
  </si>
  <si>
    <t>ICF-R 32-4-7</t>
  </si>
  <si>
    <t>Клапанная станция ICF-R 40-4-7</t>
  </si>
  <si>
    <t>ICF-R 40-4-7</t>
  </si>
  <si>
    <t>Клапанная станция ICF-R 25-4-5</t>
  </si>
  <si>
    <t>ICF-R 25-4-5</t>
  </si>
  <si>
    <t>Клапанная станция ICF-R 32-4-5</t>
  </si>
  <si>
    <t>ICF-R 32-4-5</t>
  </si>
  <si>
    <t>Клапанная станция ICF-R 40-4-5</t>
  </si>
  <si>
    <t>ICF-R 40-4-5</t>
  </si>
  <si>
    <t>Клапанная станция ICF-R 25-6-1</t>
  </si>
  <si>
    <t>ICF-R 25-6-1</t>
  </si>
  <si>
    <t>Клапанная станция ICF-R 32-6-1</t>
  </si>
  <si>
    <t xml:space="preserve"> ICF-R 32-6-1</t>
  </si>
  <si>
    <t>Клапанная станция ICF-R 40-6-1</t>
  </si>
  <si>
    <t>ICF-R 40-6-1</t>
  </si>
  <si>
    <t>Привод электрический ICAD-R 600</t>
  </si>
  <si>
    <t>ICAD-R</t>
  </si>
  <si>
    <t>ICAD-R 600</t>
  </si>
  <si>
    <t xml:space="preserve"> -30…50</t>
  </si>
  <si>
    <t>Привод электрический ICAD-R 1200</t>
  </si>
  <si>
    <t xml:space="preserve"> ICAD-R 1200</t>
  </si>
  <si>
    <r>
      <t xml:space="preserve">
</t>
    </r>
    <r>
      <rPr>
        <u/>
        <sz val="14"/>
        <color theme="0"/>
        <rFont val="Verdana"/>
        <family val="2"/>
        <charset val="1"/>
      </rPr>
      <t>ridan.kz</t>
    </r>
  </si>
  <si>
    <t xml:space="preserve">Офис компании «Ридан»
140000, Республика Казахстан, Павлодарская область, город Павлодар, ул. Ломова, д. 166
Телефон: +7-705-510-96-05 • E-mail: info@ridan.kz </t>
  </si>
  <si>
    <r>
      <t xml:space="preserve">
Компания «Ридан» осуществляет техническую консультацию по продукции и обеспечивает бесперебойную поддержку оборудования и запасных частей у себя на складе.
По всем техническим вопросам, связанным с оборудованием, обращайтесь в компанию «Ридан»
•	   </t>
    </r>
    <r>
      <rPr>
        <sz val="11"/>
        <color rgb="FF0000FF"/>
        <rFont val="Verdana"/>
        <family val="2"/>
        <charset val="1"/>
      </rPr>
      <t>Community Ридан</t>
    </r>
    <r>
      <rPr>
        <sz val="11"/>
        <rFont val="Verdana"/>
        <family val="2"/>
        <charset val="1"/>
      </rPr>
      <t xml:space="preserve"> – самый быстрый способ получить ответ
•	   </t>
    </r>
    <r>
      <rPr>
        <sz val="11"/>
        <color rgb="FF0000FF"/>
        <rFont val="Verdana"/>
        <family val="2"/>
        <charset val="1"/>
      </rPr>
      <t>ts@ridan.ru</t>
    </r>
    <r>
      <rPr>
        <sz val="11"/>
        <rFont val="Verdana"/>
        <family val="2"/>
        <charset val="1"/>
      </rPr>
      <t xml:space="preserve"> – электронная почта технической поддержки
•	   тел. (Москва): </t>
    </r>
    <r>
      <rPr>
        <sz val="11"/>
        <color rgb="FF0000FF"/>
        <rFont val="Verdana"/>
        <family val="2"/>
        <charset val="1"/>
      </rPr>
      <t xml:space="preserve">+7 (495) 792-57-57
</t>
    </r>
    <r>
      <rPr>
        <sz val="11"/>
        <rFont val="Verdana"/>
        <family val="2"/>
        <charset val="1"/>
      </rPr>
      <t xml:space="preserve">•	   тел. (Павлодар): </t>
    </r>
    <r>
      <rPr>
        <sz val="11"/>
        <color rgb="FF0000FF"/>
        <rFont val="Verdana"/>
        <family val="2"/>
        <charset val="1"/>
      </rPr>
      <t>+7 (705) 510-96-05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</si>
</sst>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₽-419]_-;\-* #,##0.00\ [$₽-419]_-;_-* \-??\ [$₽-419]_-;_-@_-"/>
    <numFmt numFmtId="165" formatCode="_-* #,##0.00&quot; ₽&quot;_-;\-* #,##0.00&quot; ₽&quot;_-;_-* \-??&quot; ₽&quot;_-;_-@_-"/>
  </numFmts>
  <fonts count="95">
    <font>
      <sz val="10"/>
      <name val="Arial Cyr"/>
      <charset val="204"/>
    </font>
    <font>
      <sz val="10"/>
      <color rgb="FF000000"/>
      <name val="Myriad Pro"/>
      <family val="2"/>
      <charset val="204"/>
    </font>
    <font>
      <sz val="11"/>
      <color rgb="FF000000"/>
      <name val="Minion Pro"/>
      <family val="2"/>
      <charset val="204"/>
    </font>
    <font>
      <sz val="10"/>
      <name val="Arial"/>
      <family val="2"/>
      <charset val="204"/>
    </font>
    <font>
      <sz val="10"/>
      <color rgb="FFC00000"/>
      <name val="Arial Cyr"/>
      <charset val="204"/>
    </font>
    <font>
      <b/>
      <sz val="15"/>
      <color theme="0"/>
      <name val="Verdana"/>
      <family val="2"/>
      <charset val="1"/>
    </font>
    <font>
      <sz val="15"/>
      <color theme="0"/>
      <name val="Verdana"/>
      <family val="2"/>
      <charset val="1"/>
    </font>
    <font>
      <sz val="16"/>
      <color theme="0"/>
      <name val="Verdana"/>
      <family val="2"/>
      <charset val="1"/>
    </font>
    <font>
      <sz val="16"/>
      <name val="Arial Cyr"/>
      <charset val="204"/>
    </font>
    <font>
      <sz val="10"/>
      <name val="Verdana"/>
      <family val="2"/>
      <charset val="1"/>
    </font>
    <font>
      <b/>
      <sz val="14"/>
      <name val="Verdana"/>
      <family val="2"/>
      <charset val="1"/>
    </font>
    <font>
      <b/>
      <sz val="14"/>
      <name val="Verdana"/>
      <family val="2"/>
      <charset val="204"/>
    </font>
    <font>
      <b/>
      <sz val="10"/>
      <name val="Arial Cyr"/>
      <charset val="204"/>
    </font>
    <font>
      <sz val="11"/>
      <name val="Verdana"/>
      <family val="2"/>
      <charset val="1"/>
    </font>
    <font>
      <sz val="11"/>
      <color rgb="FF0000FF"/>
      <name val="Verdana"/>
      <family val="2"/>
      <charset val="1"/>
    </font>
    <font>
      <sz val="10"/>
      <color rgb="FF0000FF"/>
      <name val="Verdana"/>
      <family val="2"/>
      <charset val="1"/>
    </font>
    <font>
      <sz val="14"/>
      <name val="Verdana"/>
      <family val="2"/>
      <charset val="204"/>
    </font>
    <font>
      <sz val="14"/>
      <color rgb="FF0000FF"/>
      <name val="Verdana"/>
      <family val="2"/>
      <charset val="1"/>
    </font>
    <font>
      <sz val="12"/>
      <name val="Verdana"/>
      <family val="2"/>
      <charset val="1"/>
    </font>
    <font>
      <sz val="12"/>
      <color rgb="FF0000FF"/>
      <name val="Verdana"/>
      <family val="2"/>
      <charset val="1"/>
    </font>
    <font>
      <sz val="6"/>
      <name val="Verdana"/>
      <family val="2"/>
      <charset val="1"/>
    </font>
    <font>
      <sz val="8"/>
      <name val="Verdana"/>
      <family val="2"/>
      <charset val="1"/>
    </font>
    <font>
      <sz val="9"/>
      <color theme="0"/>
      <name val="Verdana"/>
      <family val="2"/>
      <charset val="1"/>
    </font>
    <font>
      <sz val="14"/>
      <color theme="0"/>
      <name val="Verdana"/>
      <family val="2"/>
      <charset val="1"/>
    </font>
    <font>
      <u/>
      <sz val="14"/>
      <color theme="0"/>
      <name val="Verdana"/>
      <family val="2"/>
      <charset val="1"/>
    </font>
    <font>
      <b/>
      <sz val="11"/>
      <name val="Verdana"/>
      <family val="2"/>
      <charset val="1"/>
    </font>
    <font>
      <u/>
      <sz val="10"/>
      <color rgb="FF0000FF"/>
      <name val="Arial Cyr"/>
      <charset val="204"/>
    </font>
    <font>
      <b/>
      <sz val="9"/>
      <name val="Verdana"/>
      <family val="2"/>
      <charset val="1"/>
    </font>
    <font>
      <b/>
      <sz val="10"/>
      <name val="Verdana"/>
      <family val="2"/>
      <charset val="1"/>
    </font>
    <font>
      <sz val="9"/>
      <name val="Verdana"/>
      <family val="2"/>
      <charset val="1"/>
    </font>
    <font>
      <u/>
      <sz val="10"/>
      <color rgb="FF0000FF"/>
      <name val="Verdana"/>
      <family val="2"/>
      <charset val="1"/>
    </font>
    <font>
      <sz val="15"/>
      <name val="Verdana"/>
      <family val="2"/>
      <charset val="1"/>
    </font>
    <font>
      <u/>
      <sz val="9"/>
      <color rgb="FF0000FF"/>
      <name val="Verdana"/>
      <family val="2"/>
      <charset val="1"/>
    </font>
    <font>
      <sz val="16"/>
      <name val="Verdana"/>
      <family val="2"/>
      <charset val="1"/>
    </font>
    <font>
      <b/>
      <sz val="8"/>
      <name val="Verdana"/>
      <family val="2"/>
      <charset val="1"/>
    </font>
    <font>
      <sz val="9"/>
      <color rgb="FF0000FF"/>
      <name val="Verdana"/>
      <family val="2"/>
      <charset val="1"/>
    </font>
    <font>
      <b/>
      <sz val="10"/>
      <color theme="0"/>
      <name val="Verdana"/>
      <family val="2"/>
      <charset val="1"/>
    </font>
    <font>
      <b/>
      <sz val="8"/>
      <color theme="0"/>
      <name val="Verdana"/>
      <family val="2"/>
      <charset val="1"/>
    </font>
    <font>
      <b/>
      <sz val="10"/>
      <color rgb="FF0000FF"/>
      <name val="Verdana"/>
      <family val="2"/>
      <charset val="1"/>
    </font>
    <font>
      <sz val="14"/>
      <name val="Verdana"/>
      <family val="2"/>
      <charset val="1"/>
    </font>
    <font>
      <sz val="10"/>
      <color rgb="FF0000FF"/>
      <name val="Arial Cyr"/>
      <charset val="204"/>
    </font>
    <font>
      <sz val="10"/>
      <name val="Arial"/>
      <family val="2"/>
    </font>
    <font>
      <b/>
      <sz val="14"/>
      <color theme="0"/>
      <name val="Verdana"/>
      <family val="2"/>
      <charset val="1"/>
    </font>
    <font>
      <b/>
      <sz val="12"/>
      <color theme="0"/>
      <name val="Verdana"/>
      <family val="2"/>
      <charset val="1"/>
    </font>
    <font>
      <sz val="10"/>
      <color theme="0"/>
      <name val="Verdana"/>
      <family val="2"/>
      <charset val="1"/>
    </font>
    <font>
      <b/>
      <sz val="11"/>
      <color rgb="FF262626"/>
      <name val="Verdana"/>
      <family val="2"/>
      <charset val="1"/>
    </font>
    <font>
      <i/>
      <sz val="9"/>
      <name val="Verdana"/>
      <family val="2"/>
      <charset val="1"/>
    </font>
    <font>
      <i/>
      <sz val="10"/>
      <name val="Verdana"/>
      <family val="2"/>
      <charset val="1"/>
    </font>
    <font>
      <sz val="20"/>
      <name val="Verdana"/>
      <family val="2"/>
      <charset val="1"/>
    </font>
    <font>
      <b/>
      <sz val="9"/>
      <color theme="0"/>
      <name val="Verdana"/>
      <family val="2"/>
      <charset val="1"/>
    </font>
    <font>
      <b/>
      <sz val="20"/>
      <color theme="0"/>
      <name val="Verdana"/>
      <family val="2"/>
      <charset val="1"/>
    </font>
    <font>
      <b/>
      <sz val="12"/>
      <name val="Verdana"/>
      <family val="2"/>
      <charset val="1"/>
    </font>
    <font>
      <b/>
      <sz val="16"/>
      <color theme="0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12"/>
      <color theme="0"/>
      <name val="Calibri"/>
      <family val="2"/>
      <charset val="1"/>
    </font>
    <font>
      <sz val="11"/>
      <color rgb="FF000000"/>
      <name val="Verdana"/>
      <family val="2"/>
      <charset val="1"/>
    </font>
    <font>
      <sz val="10"/>
      <color rgb="FFA6A6A6"/>
      <name val="Verdana"/>
      <family val="2"/>
      <charset val="1"/>
    </font>
    <font>
      <sz val="11"/>
      <color rgb="FFA6A6A6"/>
      <name val="Verdana"/>
      <family val="2"/>
      <charset val="1"/>
    </font>
    <font>
      <sz val="8"/>
      <color rgb="FF0000FF"/>
      <name val="Verdana"/>
      <family val="2"/>
      <charset val="1"/>
    </font>
    <font>
      <b/>
      <i/>
      <sz val="10"/>
      <name val="Verdana"/>
      <family val="2"/>
      <charset val="1"/>
    </font>
    <font>
      <sz val="22"/>
      <name val="Verdana"/>
      <family val="2"/>
      <charset val="1"/>
    </font>
    <font>
      <sz val="10"/>
      <name val="Veranda"/>
      <charset val="204"/>
    </font>
    <font>
      <sz val="10"/>
      <color rgb="FF0000FF"/>
      <name val="Veranda"/>
      <charset val="204"/>
    </font>
    <font>
      <b/>
      <sz val="14"/>
      <color theme="0"/>
      <name val="Arial Cyr"/>
      <charset val="204"/>
    </font>
    <font>
      <b/>
      <sz val="12"/>
      <color theme="0"/>
      <name val="Arial Cyr"/>
      <charset val="204"/>
    </font>
    <font>
      <sz val="10"/>
      <color theme="0"/>
      <name val="Arial Cyr"/>
      <charset val="204"/>
    </font>
    <font>
      <b/>
      <sz val="11"/>
      <color rgb="FF262626"/>
      <name val="Arial Cyr"/>
      <charset val="204"/>
    </font>
    <font>
      <sz val="15"/>
      <name val="Arial Cyr"/>
      <charset val="204"/>
    </font>
    <font>
      <i/>
      <sz val="9"/>
      <name val="Arial Cyr"/>
      <charset val="204"/>
    </font>
    <font>
      <i/>
      <sz val="10"/>
      <name val="Arial Cyr"/>
      <charset val="204"/>
    </font>
    <font>
      <sz val="11"/>
      <name val="Arial Cyr"/>
      <charset val="204"/>
    </font>
    <font>
      <u/>
      <sz val="9"/>
      <color rgb="FF0000FF"/>
      <name val="Arial Cyr"/>
      <charset val="204"/>
    </font>
    <font>
      <sz val="9"/>
      <name val="Arial Cyr"/>
      <charset val="204"/>
    </font>
    <font>
      <sz val="8"/>
      <name val="Times New Roman"/>
      <family val="1"/>
      <charset val="204"/>
    </font>
    <font>
      <vertAlign val="superscript"/>
      <sz val="9"/>
      <name val="Verdana"/>
      <family val="2"/>
      <charset val="1"/>
    </font>
    <font>
      <i/>
      <sz val="8"/>
      <name val="Verdana"/>
      <family val="2"/>
      <charset val="1"/>
    </font>
    <font>
      <sz val="18"/>
      <name val="Verdana"/>
      <family val="2"/>
      <charset val="1"/>
    </font>
    <font>
      <b/>
      <sz val="14"/>
      <name val="Arial Cyr"/>
      <charset val="204"/>
    </font>
    <font>
      <sz val="10"/>
      <color rgb="FFC00000"/>
      <name val="Verdana"/>
      <family val="2"/>
      <charset val="1"/>
    </font>
    <font>
      <b/>
      <sz val="10"/>
      <color rgb="FF0000FF"/>
      <name val="Arial Cyr"/>
      <charset val="204"/>
    </font>
    <font>
      <sz val="10"/>
      <color rgb="FF000000"/>
      <name val="Minion Pro"/>
      <family val="1"/>
      <charset val="1"/>
    </font>
    <font>
      <b/>
      <sz val="10"/>
      <color rgb="FF000000"/>
      <name val="Minion Pro"/>
      <family val="1"/>
      <charset val="1"/>
    </font>
    <font>
      <sz val="10"/>
      <color rgb="FF000000"/>
      <name val="Minion Pro"/>
      <charset val="1"/>
    </font>
    <font>
      <b/>
      <sz val="11"/>
      <color rgb="FF000000"/>
      <name val="Minion Pro"/>
      <charset val="204"/>
    </font>
    <font>
      <b/>
      <sz val="10"/>
      <color rgb="FF000000"/>
      <name val="Minion Pro"/>
      <charset val="1"/>
    </font>
    <font>
      <b/>
      <sz val="11"/>
      <color rgb="FF000000"/>
      <name val="Minion Pro"/>
      <family val="1"/>
      <charset val="1"/>
    </font>
    <font>
      <sz val="20"/>
      <color rgb="FF000000"/>
      <name val="Minion Pro"/>
      <family val="2"/>
      <charset val="204"/>
    </font>
    <font>
      <sz val="14"/>
      <color rgb="FF000000"/>
      <name val="Minion Pro"/>
      <family val="1"/>
      <charset val="1"/>
    </font>
    <font>
      <sz val="11"/>
      <color rgb="FF000000"/>
      <name val="Minion Pro"/>
      <family val="1"/>
      <charset val="1"/>
    </font>
    <font>
      <sz val="13"/>
      <color rgb="FF000000"/>
      <name val="Minion Pro"/>
      <family val="1"/>
      <charset val="1"/>
    </font>
    <font>
      <sz val="11"/>
      <color rgb="FFFF0000"/>
      <name val="Minion Pro"/>
      <family val="1"/>
      <charset val="1"/>
    </font>
    <font>
      <sz val="10"/>
      <color rgb="FFFF0000"/>
      <name val="Minion Pro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0000"/>
        <bgColor rgb="FFFF0000"/>
      </patternFill>
    </fill>
    <fill>
      <patternFill patternType="solid">
        <fgColor theme="0" tint="-4.9989318521683403E-2"/>
        <bgColor rgb="FFE2F0D9"/>
      </patternFill>
    </fill>
    <fill>
      <patternFill patternType="solid">
        <fgColor theme="9" tint="-0.249977111117893"/>
        <bgColor rgb="FF339966"/>
      </patternFill>
    </fill>
    <fill>
      <patternFill patternType="solid">
        <fgColor theme="8" tint="-0.249977111117893"/>
        <bgColor rgb="FF0066CC"/>
      </patternFill>
    </fill>
    <fill>
      <patternFill patternType="solid">
        <fgColor theme="9" tint="0.79989013336588644"/>
        <bgColor rgb="FFDEEBF7"/>
      </patternFill>
    </fill>
    <fill>
      <patternFill patternType="solid">
        <fgColor theme="8" tint="0.79989013336588644"/>
        <bgColor rgb="FFE2F0D9"/>
      </patternFill>
    </fill>
    <fill>
      <patternFill patternType="solid">
        <fgColor theme="0" tint="-0.14999847407452621"/>
        <bgColor rgb="FFDEEBF7"/>
      </patternFill>
    </fill>
    <fill>
      <patternFill patternType="solid">
        <fgColor theme="5" tint="-0.249977111117893"/>
        <bgColor rgb="FF993300"/>
      </patternFill>
    </fill>
    <fill>
      <patternFill patternType="solid">
        <fgColor theme="5" tint="0.79989013336588644"/>
        <bgColor rgb="FFF2F2F2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theme="4" tint="0.59987182226020086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165" fontId="94" fillId="0" borderId="0" applyBorder="0" applyProtection="0"/>
    <xf numFmtId="9" fontId="94" fillId="0" borderId="0" applyBorder="0" applyProtection="0"/>
    <xf numFmtId="0" fontId="26" fillId="0" borderId="0" applyBorder="0" applyProtection="0"/>
    <xf numFmtId="0" fontId="1" fillId="0" borderId="0"/>
    <xf numFmtId="0" fontId="2" fillId="0" borderId="0"/>
    <xf numFmtId="0" fontId="3" fillId="0" borderId="0"/>
    <xf numFmtId="0" fontId="3" fillId="0" borderId="0"/>
    <xf numFmtId="3" fontId="94" fillId="2" borderId="1">
      <alignment horizontal="right" vertical="center"/>
      <protection hidden="1"/>
    </xf>
  </cellStyleXfs>
  <cellXfs count="584">
    <xf numFmtId="0" fontId="0" fillId="0" borderId="0" xfId="0"/>
    <xf numFmtId="0" fontId="27" fillId="2" borderId="4" xfId="3" applyFont="1" applyFill="1" applyBorder="1" applyAlignment="1" applyProtection="1">
      <alignment horizontal="center" vertical="center"/>
    </xf>
    <xf numFmtId="0" fontId="25" fillId="2" borderId="4" xfId="3" applyFont="1" applyFill="1" applyBorder="1" applyAlignment="1" applyProtection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top" wrapText="1"/>
    </xf>
    <xf numFmtId="0" fontId="16" fillId="4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0" xfId="0" applyFont="1" applyFill="1" applyBorder="1"/>
    <xf numFmtId="0" fontId="7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0" fillId="3" borderId="0" xfId="0" applyFill="1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2" borderId="6" xfId="0" applyFill="1" applyBorder="1" applyAlignment="1"/>
    <xf numFmtId="0" fontId="9" fillId="0" borderId="0" xfId="0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5" xfId="0" applyFont="1" applyBorder="1"/>
    <xf numFmtId="0" fontId="0" fillId="0" borderId="6" xfId="0" applyBorder="1"/>
    <xf numFmtId="0" fontId="10" fillId="0" borderId="0" xfId="0" applyFont="1" applyBorder="1"/>
    <xf numFmtId="0" fontId="11" fillId="2" borderId="0" xfId="0" applyFont="1" applyFill="1" applyBorder="1"/>
    <xf numFmtId="0" fontId="12" fillId="2" borderId="0" xfId="0" applyFont="1" applyFill="1" applyBorder="1"/>
    <xf numFmtId="0" fontId="0" fillId="4" borderId="0" xfId="0" applyFill="1" applyBorder="1"/>
    <xf numFmtId="0" fontId="13" fillId="4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Border="1" applyAlignment="1">
      <alignment vertical="top" wrapText="1"/>
    </xf>
    <xf numFmtId="0" fontId="18" fillId="0" borderId="0" xfId="0" applyFont="1" applyBorder="1" applyAlignment="1">
      <alignment vertical="center" wrapText="1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1" fillId="0" borderId="0" xfId="0" applyFont="1" applyAlignment="1"/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7" xfId="0" applyBorder="1"/>
    <xf numFmtId="0" fontId="4" fillId="2" borderId="8" xfId="0" applyFont="1" applyFill="1" applyBorder="1"/>
    <xf numFmtId="0" fontId="22" fillId="2" borderId="8" xfId="0" applyFont="1" applyFill="1" applyBorder="1" applyAlignment="1">
      <alignment horizontal="left" vertical="center" wrapText="1"/>
    </xf>
    <xf numFmtId="0" fontId="23" fillId="2" borderId="8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5" fillId="2" borderId="2" xfId="3" applyFont="1" applyFill="1" applyBorder="1" applyAlignment="1" applyProtection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21" fillId="2" borderId="6" xfId="0" applyFont="1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/>
    <xf numFmtId="0" fontId="9" fillId="2" borderId="6" xfId="0" applyFont="1" applyFill="1" applyBorder="1"/>
    <xf numFmtId="0" fontId="27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0" fillId="0" borderId="0" xfId="3" applyFont="1" applyBorder="1" applyProtection="1"/>
    <xf numFmtId="0" fontId="29" fillId="2" borderId="0" xfId="0" applyFont="1" applyFill="1" applyBorder="1"/>
    <xf numFmtId="0" fontId="29" fillId="2" borderId="6" xfId="0" applyFont="1" applyFill="1" applyBorder="1"/>
    <xf numFmtId="0" fontId="31" fillId="2" borderId="5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0" fillId="2" borderId="11" xfId="0" applyFill="1" applyBorder="1"/>
    <xf numFmtId="0" fontId="33" fillId="2" borderId="5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/>
    <xf numFmtId="0" fontId="21" fillId="2" borderId="1" xfId="0" applyFont="1" applyFill="1" applyBorder="1" applyAlignment="1">
      <alignment horizontal="center" vertical="center"/>
    </xf>
    <xf numFmtId="9" fontId="21" fillId="2" borderId="1" xfId="2" applyFont="1" applyFill="1" applyBorder="1" applyAlignment="1" applyProtection="1"/>
    <xf numFmtId="0" fontId="21" fillId="2" borderId="1" xfId="0" applyFont="1" applyFill="1" applyBorder="1"/>
    <xf numFmtId="0" fontId="27" fillId="2" borderId="5" xfId="0" applyFont="1" applyFill="1" applyBorder="1" applyAlignment="1"/>
    <xf numFmtId="0" fontId="0" fillId="0" borderId="7" xfId="0" applyFont="1" applyBorder="1" applyAlignment="1">
      <alignment horizontal="left" vertical="center"/>
    </xf>
    <xf numFmtId="0" fontId="15" fillId="0" borderId="8" xfId="3" applyFont="1" applyBorder="1" applyAlignment="1" applyProtection="1">
      <alignment horizontal="right"/>
    </xf>
    <xf numFmtId="0" fontId="15" fillId="0" borderId="9" xfId="3" applyFont="1" applyBorder="1" applyAlignment="1" applyProtection="1">
      <alignment horizontal="right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36" fillId="3" borderId="12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textRotation="90" wrapText="1"/>
    </xf>
    <xf numFmtId="0" fontId="38" fillId="0" borderId="1" xfId="3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/>
    </xf>
    <xf numFmtId="2" fontId="15" fillId="0" borderId="1" xfId="3" applyNumberFormat="1" applyFont="1" applyBorder="1" applyAlignment="1" applyProtection="1">
      <alignment horizontal="right" vertical="center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/>
    <xf numFmtId="164" fontId="9" fillId="0" borderId="1" xfId="0" applyNumberFormat="1" applyFont="1" applyBorder="1"/>
    <xf numFmtId="0" fontId="3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0" fillId="0" borderId="1" xfId="3" applyNumberFormat="1" applyFont="1" applyBorder="1" applyAlignment="1" applyProtection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42" fillId="3" borderId="2" xfId="0" applyFont="1" applyFill="1" applyBorder="1" applyAlignment="1">
      <alignment horizontal="left" vertical="center"/>
    </xf>
    <xf numFmtId="0" fontId="43" fillId="3" borderId="3" xfId="0" applyFont="1" applyFill="1" applyBorder="1" applyAlignment="1">
      <alignment vertical="center"/>
    </xf>
    <xf numFmtId="0" fontId="44" fillId="3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45" fillId="2" borderId="0" xfId="0" applyFont="1" applyFill="1" applyBorder="1" applyAlignment="1">
      <alignment horizontal="left" vertical="center"/>
    </xf>
    <xf numFmtId="0" fontId="45" fillId="2" borderId="6" xfId="0" applyFont="1" applyFill="1" applyBorder="1" applyAlignment="1">
      <alignment horizontal="left" vertical="center"/>
    </xf>
    <xf numFmtId="0" fontId="46" fillId="2" borderId="0" xfId="0" applyFont="1" applyFill="1" applyBorder="1" applyAlignment="1">
      <alignment vertical="center"/>
    </xf>
    <xf numFmtId="0" fontId="47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32" fillId="0" borderId="5" xfId="3" applyFont="1" applyBorder="1" applyProtection="1"/>
    <xf numFmtId="0" fontId="32" fillId="2" borderId="0" xfId="3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left" vertical="top" wrapText="1"/>
    </xf>
    <xf numFmtId="0" fontId="9" fillId="0" borderId="6" xfId="0" applyFont="1" applyBorder="1"/>
    <xf numFmtId="0" fontId="32" fillId="0" borderId="0" xfId="3" applyFont="1" applyBorder="1" applyProtection="1"/>
    <xf numFmtId="0" fontId="29" fillId="2" borderId="0" xfId="0" applyFont="1" applyFill="1" applyBorder="1" applyAlignment="1">
      <alignment horizontal="left" vertical="top" wrapText="1"/>
    </xf>
    <xf numFmtId="0" fontId="28" fillId="2" borderId="5" xfId="0" applyFont="1" applyFill="1" applyBorder="1"/>
    <xf numFmtId="0" fontId="9" fillId="2" borderId="8" xfId="0" applyFont="1" applyFill="1" applyBorder="1"/>
    <xf numFmtId="0" fontId="36" fillId="3" borderId="10" xfId="0" applyFont="1" applyFill="1" applyBorder="1" applyAlignment="1">
      <alignment vertical="center" wrapText="1"/>
    </xf>
    <xf numFmtId="0" fontId="36" fillId="3" borderId="13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vertical="center" wrapText="1"/>
    </xf>
    <xf numFmtId="0" fontId="36" fillId="3" borderId="14" xfId="0" applyFont="1" applyFill="1" applyBorder="1" applyAlignment="1">
      <alignment horizontal="center" vertical="center" wrapText="1"/>
    </xf>
    <xf numFmtId="0" fontId="36" fillId="3" borderId="15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3" fontId="15" fillId="0" borderId="1" xfId="3" applyNumberFormat="1" applyFont="1" applyBorder="1" applyAlignment="1" applyProtection="1">
      <alignment horizontal="right" vertical="center"/>
    </xf>
    <xf numFmtId="0" fontId="48" fillId="0" borderId="1" xfId="0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2" fontId="29" fillId="2" borderId="0" xfId="0" applyNumberFormat="1" applyFont="1" applyFill="1" applyBorder="1" applyAlignment="1">
      <alignment horizontal="right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horizontal="left"/>
    </xf>
    <xf numFmtId="0" fontId="49" fillId="3" borderId="10" xfId="0" applyFont="1" applyFill="1" applyBorder="1" applyAlignment="1">
      <alignment horizontal="center" vertical="center" textRotation="90"/>
    </xf>
    <xf numFmtId="0" fontId="38" fillId="0" borderId="12" xfId="3" applyFont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0" fillId="3" borderId="2" xfId="0" applyFont="1" applyFill="1" applyBorder="1" applyAlignment="1">
      <alignment vertical="center"/>
    </xf>
    <xf numFmtId="0" fontId="51" fillId="3" borderId="3" xfId="0" applyFont="1" applyFill="1" applyBorder="1"/>
    <xf numFmtId="0" fontId="9" fillId="3" borderId="4" xfId="0" applyFont="1" applyFill="1" applyBorder="1"/>
    <xf numFmtId="0" fontId="13" fillId="2" borderId="0" xfId="0" applyFont="1" applyFill="1" applyBorder="1" applyAlignment="1">
      <alignment vertical="center" wrapText="1"/>
    </xf>
    <xf numFmtId="0" fontId="44" fillId="0" borderId="5" xfId="0" applyFont="1" applyBorder="1"/>
    <xf numFmtId="0" fontId="44" fillId="0" borderId="0" xfId="0" applyFont="1" applyBorder="1"/>
    <xf numFmtId="0" fontId="52" fillId="0" borderId="0" xfId="0" applyFont="1" applyBorder="1" applyAlignment="1">
      <alignment vertical="center"/>
    </xf>
    <xf numFmtId="0" fontId="52" fillId="0" borderId="6" xfId="0" applyFont="1" applyBorder="1" applyAlignment="1">
      <alignment vertical="center"/>
    </xf>
    <xf numFmtId="0" fontId="46" fillId="2" borderId="0" xfId="0" applyFont="1" applyFill="1" applyBorder="1"/>
    <xf numFmtId="0" fontId="47" fillId="2" borderId="0" xfId="0" applyFont="1" applyFill="1" applyBorder="1"/>
    <xf numFmtId="0" fontId="9" fillId="0" borderId="0" xfId="0" applyFont="1" applyBorder="1" applyAlignment="1"/>
    <xf numFmtId="0" fontId="9" fillId="0" borderId="6" xfId="0" applyFont="1" applyBorder="1" applyAlignment="1"/>
    <xf numFmtId="0" fontId="53" fillId="0" borderId="5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7" xfId="0" applyFont="1" applyBorder="1" applyAlignment="1">
      <alignment vertical="center"/>
    </xf>
    <xf numFmtId="0" fontId="53" fillId="0" borderId="8" xfId="0" applyFont="1" applyBorder="1" applyAlignment="1">
      <alignment vertical="center"/>
    </xf>
    <xf numFmtId="0" fontId="54" fillId="0" borderId="8" xfId="0" applyFont="1" applyBorder="1" applyAlignment="1">
      <alignment vertical="center"/>
    </xf>
    <xf numFmtId="0" fontId="54" fillId="0" borderId="9" xfId="0" applyFont="1" applyBorder="1" applyAlignment="1">
      <alignment vertical="center"/>
    </xf>
    <xf numFmtId="0" fontId="9" fillId="0" borderId="0" xfId="0" applyFont="1" applyAlignment="1"/>
    <xf numFmtId="0" fontId="28" fillId="2" borderId="7" xfId="0" applyFont="1" applyFill="1" applyBorder="1" applyAlignment="1"/>
    <xf numFmtId="0" fontId="9" fillId="2" borderId="8" xfId="0" applyFont="1" applyFill="1" applyBorder="1" applyAlignment="1"/>
    <xf numFmtId="0" fontId="49" fillId="3" borderId="1" xfId="0" applyFont="1" applyFill="1" applyBorder="1" applyAlignment="1">
      <alignment horizontal="center" vertical="center" textRotation="90"/>
    </xf>
    <xf numFmtId="0" fontId="36" fillId="5" borderId="14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2" xfId="0" applyFont="1" applyFill="1" applyBorder="1"/>
    <xf numFmtId="0" fontId="9" fillId="9" borderId="4" xfId="0" applyFont="1" applyFill="1" applyBorder="1"/>
    <xf numFmtId="0" fontId="9" fillId="9" borderId="5" xfId="0" applyFont="1" applyFill="1" applyBorder="1"/>
    <xf numFmtId="0" fontId="9" fillId="9" borderId="6" xfId="0" applyFont="1" applyFill="1" applyBorder="1"/>
    <xf numFmtId="0" fontId="9" fillId="9" borderId="7" xfId="0" applyFont="1" applyFill="1" applyBorder="1"/>
    <xf numFmtId="0" fontId="9" fillId="9" borderId="9" xfId="0" applyFont="1" applyFill="1" applyBorder="1"/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vertical="center" wrapText="1"/>
    </xf>
    <xf numFmtId="0" fontId="48" fillId="0" borderId="1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5" xfId="0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8" xfId="0" applyFont="1" applyBorder="1"/>
    <xf numFmtId="0" fontId="36" fillId="3" borderId="10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textRotation="90"/>
    </xf>
    <xf numFmtId="3" fontId="15" fillId="0" borderId="1" xfId="3" applyNumberFormat="1" applyFont="1" applyBorder="1" applyAlignment="1" applyProtection="1">
      <alignment horizontal="center" vertical="center"/>
    </xf>
    <xf numFmtId="2" fontId="15" fillId="0" borderId="1" xfId="3" applyNumberFormat="1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2" fillId="3" borderId="2" xfId="0" applyFont="1" applyFill="1" applyBorder="1" applyAlignment="1">
      <alignment vertical="center"/>
    </xf>
    <xf numFmtId="0" fontId="0" fillId="0" borderId="0" xfId="0"/>
    <xf numFmtId="0" fontId="55" fillId="0" borderId="0" xfId="5" applyFont="1"/>
    <xf numFmtId="0" fontId="0" fillId="0" borderId="0" xfId="0" applyFont="1" applyAlignment="1">
      <alignment horizontal="center"/>
    </xf>
    <xf numFmtId="0" fontId="43" fillId="3" borderId="3" xfId="0" applyFont="1" applyFill="1" applyBorder="1"/>
    <xf numFmtId="0" fontId="44" fillId="3" borderId="4" xfId="0" applyFont="1" applyFill="1" applyBorder="1"/>
    <xf numFmtId="0" fontId="13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9" fillId="2" borderId="8" xfId="0" applyFont="1" applyFill="1" applyBorder="1" applyAlignment="1">
      <alignment vertical="center"/>
    </xf>
    <xf numFmtId="0" fontId="28" fillId="0" borderId="5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1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/>
    <xf numFmtId="0" fontId="9" fillId="0" borderId="7" xfId="0" applyFont="1" applyBorder="1" applyAlignment="1"/>
    <xf numFmtId="0" fontId="36" fillId="3" borderId="11" xfId="0" applyFont="1" applyFill="1" applyBorder="1" applyAlignment="1">
      <alignment horizontal="center" vertical="center" wrapText="1"/>
    </xf>
    <xf numFmtId="0" fontId="38" fillId="0" borderId="0" xfId="3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2" fontId="15" fillId="0" borderId="0" xfId="3" applyNumberFormat="1" applyFont="1" applyBorder="1" applyAlignment="1" applyProtection="1">
      <alignment horizontal="right" vertical="center"/>
    </xf>
    <xf numFmtId="0" fontId="36" fillId="3" borderId="10" xfId="0" applyFont="1" applyFill="1" applyBorder="1" applyAlignment="1">
      <alignment horizontal="center" vertical="center" textRotation="90"/>
    </xf>
    <xf numFmtId="3" fontId="15" fillId="0" borderId="12" xfId="3" applyNumberFormat="1" applyFont="1" applyBorder="1" applyAlignment="1" applyProtection="1">
      <alignment horizontal="right" vertical="center"/>
    </xf>
    <xf numFmtId="0" fontId="36" fillId="0" borderId="3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3" fillId="3" borderId="3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8" borderId="1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44" fillId="3" borderId="4" xfId="0" applyFont="1" applyFill="1" applyBorder="1" applyAlignment="1">
      <alignment horizontal="center"/>
    </xf>
    <xf numFmtId="0" fontId="9" fillId="2" borderId="0" xfId="0" applyFont="1" applyFill="1"/>
    <xf numFmtId="0" fontId="45" fillId="2" borderId="6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28" fillId="2" borderId="7" xfId="0" applyFont="1" applyFill="1" applyBorder="1"/>
    <xf numFmtId="0" fontId="28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center" vertical="center" wrapText="1"/>
    </xf>
    <xf numFmtId="0" fontId="38" fillId="0" borderId="15" xfId="3" applyFont="1" applyBorder="1" applyAlignment="1" applyProtection="1">
      <alignment horizontal="center" vertical="center"/>
    </xf>
    <xf numFmtId="0" fontId="39" fillId="0" borderId="1" xfId="0" applyFont="1" applyBorder="1" applyAlignment="1">
      <alignment horizontal="center"/>
    </xf>
    <xf numFmtId="0" fontId="56" fillId="0" borderId="0" xfId="0" applyFont="1"/>
    <xf numFmtId="0" fontId="57" fillId="2" borderId="0" xfId="0" applyFont="1" applyFill="1" applyBorder="1" applyAlignment="1">
      <alignment vertical="center" wrapText="1"/>
    </xf>
    <xf numFmtId="0" fontId="32" fillId="2" borderId="7" xfId="3" applyFont="1" applyFill="1" applyBorder="1" applyAlignment="1" applyProtection="1">
      <alignment vertical="center"/>
    </xf>
    <xf numFmtId="0" fontId="32" fillId="2" borderId="8" xfId="3" applyFont="1" applyFill="1" applyBorder="1" applyAlignment="1" applyProtection="1">
      <alignment vertical="center"/>
    </xf>
    <xf numFmtId="0" fontId="9" fillId="2" borderId="8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vertical="center" wrapText="1"/>
    </xf>
    <xf numFmtId="0" fontId="57" fillId="2" borderId="8" xfId="0" applyFont="1" applyFill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44" fillId="3" borderId="4" xfId="0" applyFont="1" applyFill="1" applyBorder="1" applyAlignment="1">
      <alignment horizontal="left" vertical="center"/>
    </xf>
    <xf numFmtId="0" fontId="36" fillId="10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2" fontId="9" fillId="11" borderId="1" xfId="0" applyNumberFormat="1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12" borderId="0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38" fillId="0" borderId="7" xfId="3" applyFont="1" applyBorder="1" applyAlignment="1" applyProtection="1">
      <alignment horizontal="center" vertical="center"/>
    </xf>
    <xf numFmtId="0" fontId="44" fillId="3" borderId="0" xfId="0" applyFont="1" applyFill="1"/>
    <xf numFmtId="0" fontId="36" fillId="3" borderId="11" xfId="0" applyFont="1" applyFill="1" applyBorder="1" applyAlignment="1">
      <alignment horizontal="center" vertical="center" textRotation="90"/>
    </xf>
    <xf numFmtId="0" fontId="38" fillId="0" borderId="10" xfId="3" applyFont="1" applyBorder="1" applyAlignment="1" applyProtection="1">
      <alignment horizontal="center" vertical="center"/>
    </xf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3" fontId="15" fillId="0" borderId="10" xfId="3" applyNumberFormat="1" applyFont="1" applyBorder="1" applyAlignment="1" applyProtection="1">
      <alignment horizontal="right" vertical="center"/>
    </xf>
    <xf numFmtId="0" fontId="3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/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/>
    <xf numFmtId="2" fontId="15" fillId="0" borderId="13" xfId="3" applyNumberFormat="1" applyFont="1" applyBorder="1" applyAlignment="1" applyProtection="1">
      <alignment horizontal="right" vertical="center"/>
    </xf>
    <xf numFmtId="0" fontId="9" fillId="0" borderId="12" xfId="0" applyFont="1" applyBorder="1"/>
    <xf numFmtId="0" fontId="60" fillId="0" borderId="12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28" fillId="2" borderId="8" xfId="0" applyFont="1" applyFill="1" applyBorder="1" applyAlignment="1"/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0" fillId="0" borderId="1" xfId="0" applyBorder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61" fillId="0" borderId="1" xfId="0" applyFont="1" applyBorder="1"/>
    <xf numFmtId="0" fontId="61" fillId="0" borderId="0" xfId="0" applyFont="1" applyBorder="1" applyAlignment="1"/>
    <xf numFmtId="0" fontId="61" fillId="0" borderId="0" xfId="0" applyFont="1" applyBorder="1"/>
    <xf numFmtId="0" fontId="61" fillId="0" borderId="0" xfId="0" applyFont="1" applyBorder="1" applyAlignment="1">
      <alignment horizontal="center" vertical="center"/>
    </xf>
    <xf numFmtId="2" fontId="62" fillId="0" borderId="0" xfId="3" applyNumberFormat="1" applyFont="1" applyBorder="1" applyAlignment="1" applyProtection="1">
      <alignment horizontal="right" vertical="center"/>
    </xf>
    <xf numFmtId="0" fontId="61" fillId="0" borderId="1" xfId="0" applyFont="1" applyBorder="1" applyAlignment="1">
      <alignment horizontal="center" vertical="center"/>
    </xf>
    <xf numFmtId="0" fontId="30" fillId="2" borderId="7" xfId="3" applyFont="1" applyFill="1" applyBorder="1" applyAlignment="1" applyProtection="1">
      <alignment horizontal="left" vertical="center"/>
    </xf>
    <xf numFmtId="0" fontId="45" fillId="2" borderId="8" xfId="0" applyFont="1" applyFill="1" applyBorder="1" applyAlignment="1">
      <alignment horizontal="left" vertical="center"/>
    </xf>
    <xf numFmtId="0" fontId="21" fillId="0" borderId="0" xfId="0" applyFont="1"/>
    <xf numFmtId="0" fontId="59" fillId="0" borderId="0" xfId="0" applyFont="1" applyAlignment="1">
      <alignment vertical="center"/>
    </xf>
    <xf numFmtId="0" fontId="47" fillId="0" borderId="1" xfId="0" applyFont="1" applyBorder="1" applyAlignment="1">
      <alignment horizontal="center"/>
    </xf>
    <xf numFmtId="0" fontId="28" fillId="0" borderId="0" xfId="3" applyFont="1" applyBorder="1" applyAlignment="1" applyProtection="1">
      <alignment vertical="center"/>
    </xf>
    <xf numFmtId="0" fontId="13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left"/>
    </xf>
    <xf numFmtId="0" fontId="33" fillId="0" borderId="1" xfId="0" applyFont="1" applyBorder="1" applyAlignment="1">
      <alignment horizontal="center" vertical="center"/>
    </xf>
    <xf numFmtId="0" fontId="63" fillId="3" borderId="2" xfId="0" applyFont="1" applyFill="1" applyBorder="1" applyAlignment="1">
      <alignment horizontal="left" vertical="center"/>
    </xf>
    <xf numFmtId="0" fontId="64" fillId="3" borderId="3" xfId="0" applyFont="1" applyFill="1" applyBorder="1" applyAlignment="1">
      <alignment horizontal="left" vertical="center"/>
    </xf>
    <xf numFmtId="0" fontId="65" fillId="3" borderId="4" xfId="0" applyFont="1" applyFill="1" applyBorder="1" applyAlignment="1">
      <alignment horizontal="left" vertical="center"/>
    </xf>
    <xf numFmtId="0" fontId="66" fillId="2" borderId="0" xfId="0" applyFont="1" applyFill="1" applyBorder="1" applyAlignment="1">
      <alignment horizontal="left" vertical="center"/>
    </xf>
    <xf numFmtId="0" fontId="66" fillId="2" borderId="6" xfId="0" applyFont="1" applyFill="1" applyBorder="1" applyAlignment="1">
      <alignment horizontal="left" vertical="center"/>
    </xf>
    <xf numFmtId="0" fontId="67" fillId="2" borderId="5" xfId="0" applyFont="1" applyFill="1" applyBorder="1" applyAlignment="1">
      <alignment horizontal="center" vertical="center"/>
    </xf>
    <xf numFmtId="0" fontId="68" fillId="2" borderId="0" xfId="0" applyFont="1" applyFill="1" applyBorder="1" applyAlignment="1">
      <alignment vertical="center"/>
    </xf>
    <xf numFmtId="0" fontId="69" fillId="2" borderId="0" xfId="0" applyFont="1" applyFill="1" applyBorder="1"/>
    <xf numFmtId="0" fontId="69" fillId="2" borderId="0" xfId="0" applyFont="1" applyFill="1" applyBorder="1" applyAlignment="1">
      <alignment horizontal="left" vertical="top" wrapText="1"/>
    </xf>
    <xf numFmtId="0" fontId="70" fillId="2" borderId="0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1" fillId="0" borderId="5" xfId="3" applyFont="1" applyBorder="1" applyProtection="1"/>
    <xf numFmtId="0" fontId="71" fillId="2" borderId="0" xfId="3" applyFont="1" applyFill="1" applyBorder="1" applyAlignment="1" applyProtection="1">
      <alignment vertical="center"/>
    </xf>
    <xf numFmtId="0" fontId="0" fillId="2" borderId="0" xfId="0" applyFont="1" applyFill="1" applyBorder="1" applyAlignment="1">
      <alignment horizontal="left" vertical="top" wrapText="1"/>
    </xf>
    <xf numFmtId="0" fontId="71" fillId="0" borderId="0" xfId="3" applyFont="1" applyBorder="1" applyProtection="1"/>
    <xf numFmtId="0" fontId="72" fillId="2" borderId="0" xfId="0" applyFont="1" applyFill="1" applyBorder="1"/>
    <xf numFmtId="0" fontId="72" fillId="2" borderId="0" xfId="0" applyFont="1" applyFill="1" applyBorder="1" applyAlignment="1">
      <alignment horizontal="left" vertical="top" wrapText="1"/>
    </xf>
    <xf numFmtId="0" fontId="26" fillId="2" borderId="7" xfId="3" applyFont="1" applyFill="1" applyBorder="1" applyAlignment="1" applyProtection="1">
      <alignment horizontal="left" vertical="center"/>
    </xf>
    <xf numFmtId="0" fontId="66" fillId="2" borderId="8" xfId="0" applyFont="1" applyFill="1" applyBorder="1" applyAlignment="1">
      <alignment horizontal="left" vertical="center"/>
    </xf>
    <xf numFmtId="0" fontId="73" fillId="0" borderId="0" xfId="0" applyFont="1"/>
    <xf numFmtId="0" fontId="59" fillId="0" borderId="0" xfId="0" applyFont="1" applyAlignment="1">
      <alignment horizontal="center"/>
    </xf>
    <xf numFmtId="0" fontId="28" fillId="0" borderId="7" xfId="0" applyFont="1" applyBorder="1" applyAlignment="1">
      <alignment horizontal="left"/>
    </xf>
    <xf numFmtId="0" fontId="9" fillId="0" borderId="0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2" fontId="9" fillId="11" borderId="10" xfId="0" applyNumberFormat="1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9" fillId="12" borderId="1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46" fillId="0" borderId="0" xfId="0" applyFont="1" applyAlignment="1">
      <alignment vertical="top"/>
    </xf>
    <xf numFmtId="0" fontId="33" fillId="0" borderId="12" xfId="0" applyFont="1" applyBorder="1" applyAlignment="1">
      <alignment horizontal="center" vertical="center"/>
    </xf>
    <xf numFmtId="0" fontId="28" fillId="2" borderId="0" xfId="0" applyFont="1" applyFill="1" applyBorder="1"/>
    <xf numFmtId="0" fontId="7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" fontId="15" fillId="0" borderId="12" xfId="3" applyNumberFormat="1" applyFont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8" fillId="1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49" fillId="3" borderId="12" xfId="0" applyFont="1" applyFill="1" applyBorder="1" applyAlignment="1">
      <alignment horizontal="center" vertical="center" wrapText="1"/>
    </xf>
    <xf numFmtId="0" fontId="79" fillId="0" borderId="0" xfId="3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2" fontId="40" fillId="0" borderId="0" xfId="3" applyNumberFormat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8" fillId="0" borderId="1" xfId="0" applyFont="1" applyBorder="1" applyAlignment="1">
      <alignment horizontal="center"/>
    </xf>
    <xf numFmtId="0" fontId="80" fillId="0" borderId="0" xfId="5" applyFont="1" applyAlignment="1">
      <alignment horizontal="center" vertical="center" wrapText="1"/>
    </xf>
    <xf numFmtId="0" fontId="80" fillId="0" borderId="0" xfId="5" applyFont="1" applyAlignment="1">
      <alignment vertical="center" wrapText="1"/>
    </xf>
    <xf numFmtId="0" fontId="80" fillId="0" borderId="0" xfId="5" applyFont="1" applyAlignment="1">
      <alignment horizontal="left" vertical="center" wrapText="1"/>
    </xf>
    <xf numFmtId="3" fontId="81" fillId="0" borderId="0" xfId="5" applyNumberFormat="1" applyFont="1" applyAlignment="1">
      <alignment horizontal="center" vertical="center" wrapText="1"/>
    </xf>
    <xf numFmtId="0" fontId="81" fillId="0" borderId="0" xfId="5" applyFont="1" applyAlignment="1">
      <alignment horizontal="center" vertical="center" wrapText="1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82" fillId="0" borderId="0" xfId="5" applyFont="1" applyAlignment="1">
      <alignment horizontal="center" vertical="center"/>
    </xf>
    <xf numFmtId="0" fontId="83" fillId="14" borderId="9" xfId="5" applyFont="1" applyFill="1" applyBorder="1" applyAlignment="1">
      <alignment horizontal="center" vertical="center" wrapText="1"/>
    </xf>
    <xf numFmtId="0" fontId="83" fillId="14" borderId="12" xfId="5" applyFont="1" applyFill="1" applyBorder="1" applyAlignment="1">
      <alignment horizontal="center" vertical="center" wrapText="1"/>
    </xf>
    <xf numFmtId="0" fontId="83" fillId="14" borderId="12" xfId="5" applyFont="1" applyFill="1" applyBorder="1" applyAlignment="1">
      <alignment horizontal="left" vertical="center" wrapText="1"/>
    </xf>
    <xf numFmtId="3" fontId="83" fillId="14" borderId="12" xfId="5" applyNumberFormat="1" applyFont="1" applyFill="1" applyBorder="1" applyAlignment="1">
      <alignment horizontal="center" vertical="center" wrapText="1"/>
    </xf>
    <xf numFmtId="0" fontId="83" fillId="14" borderId="7" xfId="5" applyFont="1" applyFill="1" applyBorder="1" applyAlignment="1">
      <alignment horizontal="center" vertical="center" wrapText="1"/>
    </xf>
    <xf numFmtId="0" fontId="84" fillId="14" borderId="0" xfId="5" applyFont="1" applyFill="1" applyAlignment="1">
      <alignment horizontal="center" vertical="center"/>
    </xf>
    <xf numFmtId="0" fontId="2" fillId="0" borderId="14" xfId="5" applyFont="1" applyBorder="1" applyAlignment="1">
      <alignment horizontal="center" vertical="center" wrapText="1"/>
    </xf>
    <xf numFmtId="0" fontId="15" fillId="0" borderId="1" xfId="5" applyFont="1" applyBorder="1" applyAlignment="1">
      <alignment vertical="center" wrapText="1"/>
    </xf>
    <xf numFmtId="0" fontId="2" fillId="0" borderId="1" xfId="5" applyFont="1" applyBorder="1" applyAlignment="1">
      <alignment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 wrapText="1"/>
    </xf>
    <xf numFmtId="3" fontId="85" fillId="0" borderId="1" xfId="5" applyNumberFormat="1" applyFont="1" applyBorder="1" applyAlignment="1">
      <alignment horizontal="center" vertical="center" wrapText="1"/>
    </xf>
    <xf numFmtId="0" fontId="85" fillId="0" borderId="15" xfId="5" applyFont="1" applyBorder="1" applyAlignment="1">
      <alignment horizontal="center" vertical="center" wrapText="1"/>
    </xf>
    <xf numFmtId="0" fontId="86" fillId="0" borderId="1" xfId="5" applyFont="1" applyBorder="1" applyAlignment="1">
      <alignment horizontal="center" vertical="center" wrapText="1"/>
    </xf>
    <xf numFmtId="0" fontId="2" fillId="0" borderId="0" xfId="5" applyFont="1" applyAlignment="1">
      <alignment vertical="center"/>
    </xf>
    <xf numFmtId="0" fontId="86" fillId="0" borderId="1" xfId="5" applyFont="1" applyBorder="1" applyAlignment="1">
      <alignment horizontal="center" vertical="center"/>
    </xf>
    <xf numFmtId="0" fontId="82" fillId="0" borderId="0" xfId="5" applyFont="1" applyAlignment="1">
      <alignment horizontal="center" vertical="center"/>
    </xf>
    <xf numFmtId="0" fontId="87" fillId="0" borderId="1" xfId="5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0" borderId="1" xfId="0" applyFont="1" applyBorder="1" applyAlignment="1">
      <alignment vertical="center" wrapText="1"/>
    </xf>
    <xf numFmtId="0" fontId="87" fillId="0" borderId="1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10" xfId="5" applyFont="1" applyBorder="1" applyAlignment="1">
      <alignment vertical="center" wrapText="1"/>
    </xf>
    <xf numFmtId="0" fontId="2" fillId="0" borderId="10" xfId="5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/>
    </xf>
    <xf numFmtId="0" fontId="2" fillId="0" borderId="10" xfId="5" applyFont="1" applyBorder="1" applyAlignment="1">
      <alignment horizontal="left" vertical="center" wrapText="1"/>
    </xf>
    <xf numFmtId="3" fontId="85" fillId="0" borderId="10" xfId="5" applyNumberFormat="1" applyFont="1" applyBorder="1" applyAlignment="1">
      <alignment horizontal="center" vertical="center" wrapText="1"/>
    </xf>
    <xf numFmtId="0" fontId="85" fillId="0" borderId="2" xfId="5" applyFont="1" applyBorder="1" applyAlignment="1">
      <alignment horizontal="center" vertical="center" wrapText="1"/>
    </xf>
    <xf numFmtId="0" fontId="87" fillId="0" borderId="10" xfId="5" applyFont="1" applyBorder="1" applyAlignment="1">
      <alignment horizontal="center" vertical="center" wrapText="1"/>
    </xf>
    <xf numFmtId="0" fontId="85" fillId="0" borderId="1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0" fontId="2" fillId="0" borderId="12" xfId="5" applyFont="1" applyBorder="1" applyAlignment="1">
      <alignment vertical="center" wrapText="1"/>
    </xf>
    <xf numFmtId="0" fontId="2" fillId="0" borderId="12" xfId="5" applyFont="1" applyBorder="1" applyAlignment="1">
      <alignment horizontal="center" vertical="center" wrapText="1"/>
    </xf>
    <xf numFmtId="0" fontId="2" fillId="0" borderId="12" xfId="5" applyFont="1" applyBorder="1" applyAlignment="1">
      <alignment horizontal="left" vertical="center" wrapText="1"/>
    </xf>
    <xf numFmtId="3" fontId="85" fillId="0" borderId="12" xfId="5" applyNumberFormat="1" applyFont="1" applyBorder="1" applyAlignment="1">
      <alignment horizontal="center" vertical="center" wrapText="1"/>
    </xf>
    <xf numFmtId="0" fontId="85" fillId="0" borderId="7" xfId="5" applyFont="1" applyBorder="1" applyAlignment="1">
      <alignment horizontal="center" vertical="center" wrapText="1"/>
    </xf>
    <xf numFmtId="0" fontId="89" fillId="0" borderId="1" xfId="5" applyFont="1" applyBorder="1" applyAlignment="1">
      <alignment horizontal="center" vertical="center" wrapText="1"/>
    </xf>
    <xf numFmtId="0" fontId="90" fillId="0" borderId="1" xfId="5" applyFont="1" applyBorder="1" applyAlignment="1">
      <alignment vertical="center" wrapText="1"/>
    </xf>
    <xf numFmtId="0" fontId="91" fillId="0" borderId="0" xfId="5" applyFont="1" applyAlignment="1">
      <alignment horizontal="center" vertical="center"/>
    </xf>
    <xf numFmtId="0" fontId="90" fillId="0" borderId="0" xfId="5" applyFont="1"/>
    <xf numFmtId="0" fontId="86" fillId="0" borderId="10" xfId="5" applyFont="1" applyBorder="1" applyAlignment="1">
      <alignment horizontal="center" vertical="center"/>
    </xf>
    <xf numFmtId="0" fontId="80" fillId="0" borderId="1" xfId="5" applyFont="1" applyBorder="1" applyAlignment="1">
      <alignment horizontal="center" vertical="center" wrapText="1"/>
    </xf>
    <xf numFmtId="0" fontId="80" fillId="0" borderId="1" xfId="5" applyFont="1" applyBorder="1" applyAlignment="1">
      <alignment horizontal="left" vertical="center" wrapText="1"/>
    </xf>
    <xf numFmtId="0" fontId="80" fillId="0" borderId="1" xfId="5" applyFont="1" applyBorder="1" applyAlignment="1">
      <alignment vertical="center" wrapText="1"/>
    </xf>
    <xf numFmtId="0" fontId="2" fillId="0" borderId="1" xfId="5" applyFont="1" applyBorder="1"/>
    <xf numFmtId="0" fontId="2" fillId="0" borderId="0" xfId="5" applyFont="1" applyBorder="1" applyAlignment="1">
      <alignment horizontal="center" vertical="center" wrapText="1"/>
    </xf>
    <xf numFmtId="0" fontId="80" fillId="0" borderId="0" xfId="5" applyFont="1" applyBorder="1" applyAlignment="1">
      <alignment horizontal="center" vertical="center" wrapText="1"/>
    </xf>
    <xf numFmtId="0" fontId="80" fillId="0" borderId="0" xfId="5" applyFont="1" applyBorder="1" applyAlignment="1">
      <alignment horizontal="left" vertical="center" wrapText="1"/>
    </xf>
    <xf numFmtId="0" fontId="80" fillId="0" borderId="6" xfId="5" applyFont="1" applyBorder="1" applyAlignment="1">
      <alignment vertical="center" wrapText="1"/>
    </xf>
    <xf numFmtId="3" fontId="85" fillId="0" borderId="6" xfId="5" applyNumberFormat="1" applyFont="1" applyBorder="1" applyAlignment="1">
      <alignment horizontal="center" vertical="center" wrapText="1"/>
    </xf>
    <xf numFmtId="0" fontId="2" fillId="0" borderId="0" xfId="5" applyFont="1" applyBorder="1"/>
    <xf numFmtId="3" fontId="81" fillId="0" borderId="6" xfId="5" applyNumberFormat="1" applyFont="1" applyBorder="1" applyAlignment="1">
      <alignment horizontal="center" vertical="center" wrapText="1"/>
    </xf>
    <xf numFmtId="0" fontId="85" fillId="0" borderId="10" xfId="5" applyFont="1" applyBorder="1" applyAlignment="1">
      <alignment horizontal="center" vertical="center" wrapText="1"/>
    </xf>
    <xf numFmtId="3" fontId="81" fillId="0" borderId="1" xfId="5" applyNumberFormat="1" applyFont="1" applyBorder="1" applyAlignment="1">
      <alignment horizontal="center" vertical="center" wrapText="1"/>
    </xf>
    <xf numFmtId="0" fontId="82" fillId="0" borderId="1" xfId="5" applyFont="1" applyBorder="1" applyAlignment="1">
      <alignment horizontal="center" vertical="center"/>
    </xf>
    <xf numFmtId="0" fontId="80" fillId="0" borderId="10" xfId="5" applyFont="1" applyBorder="1" applyAlignment="1">
      <alignment horizontal="center" vertical="center" wrapText="1"/>
    </xf>
    <xf numFmtId="0" fontId="80" fillId="0" borderId="10" xfId="5" applyFont="1" applyBorder="1" applyAlignment="1">
      <alignment horizontal="left" vertical="center" wrapText="1"/>
    </xf>
    <xf numFmtId="0" fontId="80" fillId="0" borderId="10" xfId="5" applyFont="1" applyBorder="1" applyAlignment="1">
      <alignment vertical="center" wrapText="1"/>
    </xf>
    <xf numFmtId="3" fontId="81" fillId="0" borderId="10" xfId="5" applyNumberFormat="1" applyFont="1" applyBorder="1" applyAlignment="1">
      <alignment horizontal="center" vertical="center" wrapText="1"/>
    </xf>
    <xf numFmtId="0" fontId="2" fillId="0" borderId="10" xfId="5" applyFont="1" applyBorder="1"/>
    <xf numFmtId="0" fontId="82" fillId="0" borderId="10" xfId="5" applyFont="1" applyBorder="1" applyAlignment="1">
      <alignment horizontal="center" vertical="center"/>
    </xf>
    <xf numFmtId="0" fontId="82" fillId="0" borderId="1" xfId="5" applyFont="1" applyBorder="1" applyAlignment="1">
      <alignment horizontal="center" vertical="center"/>
    </xf>
    <xf numFmtId="0" fontId="82" fillId="0" borderId="0" xfId="5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2" fillId="0" borderId="15" xfId="5" applyFont="1" applyBorder="1" applyAlignment="1">
      <alignment vertical="center" wrapText="1"/>
    </xf>
    <xf numFmtId="0" fontId="2" fillId="0" borderId="0" xfId="5" applyFont="1" applyBorder="1" applyAlignment="1">
      <alignment horizontal="center" vertical="center"/>
    </xf>
    <xf numFmtId="0" fontId="81" fillId="0" borderId="1" xfId="5" applyFont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/>
    </xf>
    <xf numFmtId="0" fontId="21" fillId="2" borderId="6" xfId="0" applyFont="1" applyFill="1" applyBorder="1" applyAlignment="1">
      <alignment horizontal="left" vertical="center"/>
    </xf>
    <xf numFmtId="0" fontId="32" fillId="2" borderId="6" xfId="3" applyFont="1" applyFill="1" applyBorder="1" applyAlignment="1" applyProtection="1">
      <alignment horizontal="center"/>
    </xf>
    <xf numFmtId="0" fontId="32" fillId="2" borderId="6" xfId="3" applyFont="1" applyFill="1" applyBorder="1" applyAlignment="1" applyProtection="1">
      <alignment horizontal="left" vertical="center"/>
    </xf>
    <xf numFmtId="0" fontId="30" fillId="0" borderId="11" xfId="3" applyFont="1" applyBorder="1" applyProtection="1"/>
    <xf numFmtId="0" fontId="35" fillId="0" borderId="8" xfId="3" applyFont="1" applyBorder="1" applyAlignment="1" applyProtection="1">
      <alignment horizontal="right"/>
    </xf>
    <xf numFmtId="0" fontId="42" fillId="3" borderId="2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35" fillId="0" borderId="6" xfId="3" applyFont="1" applyBorder="1" applyAlignment="1" applyProtection="1">
      <alignment horizontal="center"/>
    </xf>
    <xf numFmtId="0" fontId="36" fillId="3" borderId="13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3" fillId="3" borderId="10" xfId="0" applyFont="1" applyFill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/>
    </xf>
    <xf numFmtId="0" fontId="15" fillId="0" borderId="9" xfId="3" applyFont="1" applyBorder="1" applyAlignment="1" applyProtection="1">
      <alignment horizontal="center"/>
    </xf>
    <xf numFmtId="0" fontId="36" fillId="3" borderId="7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center"/>
    </xf>
    <xf numFmtId="0" fontId="36" fillId="6" borderId="12" xfId="0" applyFont="1" applyFill="1" applyBorder="1" applyAlignment="1">
      <alignment horizontal="center"/>
    </xf>
    <xf numFmtId="0" fontId="28" fillId="0" borderId="11" xfId="0" applyFont="1" applyBorder="1" applyAlignment="1">
      <alignment horizontal="left"/>
    </xf>
    <xf numFmtId="0" fontId="28" fillId="0" borderId="0" xfId="3" applyFont="1" applyBorder="1" applyAlignment="1" applyProtection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/>
    </xf>
    <xf numFmtId="0" fontId="36" fillId="3" borderId="12" xfId="0" applyFont="1" applyFill="1" applyBorder="1" applyAlignment="1">
      <alignment horizontal="center" vertical="center" wrapText="1"/>
    </xf>
    <xf numFmtId="0" fontId="38" fillId="0" borderId="0" xfId="3" applyFont="1" applyBorder="1" applyAlignment="1" applyProtection="1">
      <alignment horizontal="center" vertical="center"/>
    </xf>
    <xf numFmtId="0" fontId="35" fillId="0" borderId="9" xfId="3" applyFont="1" applyBorder="1" applyAlignment="1" applyProtection="1">
      <alignment horizontal="center"/>
    </xf>
    <xf numFmtId="0" fontId="36" fillId="5" borderId="12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left"/>
    </xf>
    <xf numFmtId="0" fontId="28" fillId="0" borderId="8" xfId="3" applyFont="1" applyBorder="1" applyAlignment="1" applyProtection="1">
      <alignment horizontal="left" vertical="center"/>
    </xf>
    <xf numFmtId="0" fontId="36" fillId="3" borderId="1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top" wrapText="1"/>
    </xf>
    <xf numFmtId="0" fontId="28" fillId="0" borderId="11" xfId="0" applyFont="1" applyBorder="1" applyAlignment="1">
      <alignment horizontal="left" vertical="center"/>
    </xf>
    <xf numFmtId="0" fontId="36" fillId="3" borderId="2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58" fillId="0" borderId="9" xfId="3" applyFont="1" applyBorder="1" applyAlignment="1" applyProtection="1">
      <alignment horizontal="center"/>
    </xf>
    <xf numFmtId="0" fontId="36" fillId="3" borderId="1" xfId="0" applyFont="1" applyFill="1" applyBorder="1" applyAlignment="1">
      <alignment horizontal="center" textRotation="90"/>
    </xf>
    <xf numFmtId="0" fontId="59" fillId="0" borderId="0" xfId="0" applyFont="1" applyBorder="1" applyAlignment="1">
      <alignment horizontal="left"/>
    </xf>
    <xf numFmtId="0" fontId="38" fillId="0" borderId="16" xfId="3" applyFont="1" applyBorder="1" applyAlignment="1" applyProtection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165" fontId="9" fillId="0" borderId="1" xfId="1" applyFont="1" applyBorder="1" applyAlignment="1" applyProtection="1">
      <alignment horizontal="left" vertical="center"/>
    </xf>
    <xf numFmtId="0" fontId="52" fillId="0" borderId="0" xfId="0" applyFont="1" applyBorder="1" applyAlignment="1">
      <alignment horizontal="center" vertical="center"/>
    </xf>
    <xf numFmtId="0" fontId="52" fillId="0" borderId="6" xfId="0" applyFont="1" applyBorder="1" applyAlignment="1">
      <alignment horizontal="center"/>
    </xf>
    <xf numFmtId="0" fontId="54" fillId="0" borderId="8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/>
    </xf>
    <xf numFmtId="0" fontId="28" fillId="2" borderId="5" xfId="0" applyFont="1" applyFill="1" applyBorder="1" applyAlignment="1">
      <alignment horizontal="left"/>
    </xf>
    <xf numFmtId="0" fontId="36" fillId="3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/>
    </xf>
    <xf numFmtId="0" fontId="9" fillId="0" borderId="2" xfId="3" applyFont="1" applyBorder="1" applyAlignment="1" applyProtection="1">
      <alignment horizontal="center" vertical="center"/>
    </xf>
    <xf numFmtId="0" fontId="9" fillId="0" borderId="10" xfId="3" applyFont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8" fillId="0" borderId="7" xfId="3" applyFont="1" applyBorder="1" applyAlignment="1" applyProtection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2" fontId="15" fillId="0" borderId="12" xfId="3" applyNumberFormat="1" applyFont="1" applyBorder="1" applyAlignment="1" applyProtection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2" fontId="15" fillId="0" borderId="11" xfId="3" applyNumberFormat="1" applyFont="1" applyBorder="1" applyAlignment="1" applyProtection="1">
      <alignment horizontal="center" vertical="center"/>
    </xf>
    <xf numFmtId="0" fontId="47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8" fillId="2" borderId="7" xfId="0" applyFont="1" applyFill="1" applyBorder="1" applyAlignment="1">
      <alignment horizontal="left"/>
    </xf>
    <xf numFmtId="0" fontId="21" fillId="0" borderId="10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left"/>
    </xf>
    <xf numFmtId="0" fontId="28" fillId="0" borderId="1" xfId="0" applyFont="1" applyBorder="1" applyAlignment="1">
      <alignment horizontal="center"/>
    </xf>
    <xf numFmtId="0" fontId="28" fillId="0" borderId="13" xfId="0" applyFont="1" applyBorder="1" applyAlignment="1">
      <alignment horizontal="left"/>
    </xf>
    <xf numFmtId="0" fontId="46" fillId="0" borderId="0" xfId="0" applyFont="1" applyBorder="1" applyAlignment="1">
      <alignment horizontal="left" wrapText="1"/>
    </xf>
    <xf numFmtId="0" fontId="74" fillId="0" borderId="0" xfId="0" applyFont="1" applyBorder="1" applyAlignment="1">
      <alignment horizontal="left" vertical="center" wrapText="1"/>
    </xf>
    <xf numFmtId="0" fontId="38" fillId="0" borderId="1" xfId="3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left"/>
    </xf>
    <xf numFmtId="0" fontId="75" fillId="0" borderId="0" xfId="0" applyFont="1" applyBorder="1" applyAlignment="1">
      <alignment horizontal="left" vertical="center"/>
    </xf>
    <xf numFmtId="0" fontId="46" fillId="0" borderId="3" xfId="3" applyFont="1" applyBorder="1" applyAlignment="1" applyProtection="1">
      <alignment horizontal="left" vertical="center"/>
    </xf>
    <xf numFmtId="0" fontId="77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38" fillId="0" borderId="10" xfId="3" applyFont="1" applyBorder="1" applyAlignment="1" applyProtection="1">
      <alignment horizontal="center" vertical="center"/>
    </xf>
    <xf numFmtId="3" fontId="15" fillId="0" borderId="10" xfId="3" applyNumberFormat="1" applyFont="1" applyBorder="1" applyAlignment="1" applyProtection="1">
      <alignment horizontal="center" vertical="center"/>
    </xf>
    <xf numFmtId="0" fontId="39" fillId="0" borderId="1" xfId="0" applyFont="1" applyBorder="1" applyAlignment="1">
      <alignment horizontal="center" vertical="center"/>
    </xf>
    <xf numFmtId="3" fontId="15" fillId="0" borderId="1" xfId="3" applyNumberFormat="1" applyFont="1" applyBorder="1" applyAlignment="1" applyProtection="1">
      <alignment horizontal="center" vertical="center"/>
    </xf>
    <xf numFmtId="0" fontId="28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39" fillId="0" borderId="10" xfId="0" applyFont="1" applyBorder="1" applyAlignment="1">
      <alignment horizontal="center" vertical="center"/>
    </xf>
  </cellXfs>
  <cellStyles count="9">
    <cellStyle name="Currency" xfId="1" builtinId="4"/>
    <cellStyle name="Hyperlink" xfId="3" builtinId="8"/>
    <cellStyle name="Normal" xfId="0" builtinId="0"/>
    <cellStyle name="Percent" xfId="2" builtinId="5"/>
    <cellStyle name="Обычный 2" xfId="4" xr:uid="{00000000-0005-0000-0000-000006000000}"/>
    <cellStyle name="Обычный 3" xfId="5" xr:uid="{00000000-0005-0000-0000-000007000000}"/>
    <cellStyle name="Обычный 5" xfId="6" xr:uid="{00000000-0005-0000-0000-000008000000}"/>
    <cellStyle name="Обычный 6" xfId="7" xr:uid="{00000000-0005-0000-0000-000009000000}"/>
    <cellStyle name="рубли" xfId="8" xr:uid="{00000000-0005-0000-0000-00000A000000}"/>
  </cellStyles>
  <dxfs count="8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2F0D9"/>
      <rgbColor rgb="FFFFFF99"/>
      <rgbColor rgb="FFBFBFBF"/>
      <rgbColor rgb="FFFF99CC"/>
      <rgbColor rgb="FFCC99FF"/>
      <rgbColor rgb="FFFBE5D6"/>
      <rgbColor rgb="FF2E75B6"/>
      <rgbColor rgb="FF33CCCC"/>
      <rgbColor rgb="FF99CC00"/>
      <rgbColor rgb="FFFFCC00"/>
      <rgbColor rgb="FFFF9900"/>
      <rgbColor rgb="FFC55A11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CA!A1"/><Relationship Id="rId13" Type="http://schemas.openxmlformats.org/officeDocument/2006/relationships/hyperlink" Target="#'EVRA(T) '!A1"/><Relationship Id="rId18" Type="http://schemas.openxmlformats.org/officeDocument/2006/relationships/hyperlink" Target="#&#1055;&#1080;&#1083;&#1086;&#1090;&#1099;!A1"/><Relationship Id="rId26" Type="http://schemas.openxmlformats.org/officeDocument/2006/relationships/hyperlink" Target="#&#1047;&#1048;&#1055;!A1"/><Relationship Id="rId3" Type="http://schemas.openxmlformats.org/officeDocument/2006/relationships/image" Target="../media/image2.svg"/><Relationship Id="rId21" Type="http://schemas.openxmlformats.org/officeDocument/2006/relationships/hyperlink" Target="#ELS!A1"/><Relationship Id="rId7" Type="http://schemas.openxmlformats.org/officeDocument/2006/relationships/hyperlink" Target="#REG!A1"/><Relationship Id="rId12" Type="http://schemas.openxmlformats.org/officeDocument/2006/relationships/hyperlink" Target="#FIA!A1"/><Relationship Id="rId17" Type="http://schemas.openxmlformats.org/officeDocument/2006/relationships/hyperlink" Target="#PM!A1"/><Relationship Id="rId25" Type="http://schemas.openxmlformats.org/officeDocument/2006/relationships/hyperlink" Target="#'ICAD-R'!A1"/><Relationship Id="rId2" Type="http://schemas.openxmlformats.org/officeDocument/2006/relationships/image" Target="../media/image1.png"/><Relationship Id="rId16" Type="http://schemas.openxmlformats.org/officeDocument/2006/relationships/hyperlink" Target="#'ICS-R'!A1"/><Relationship Id="rId20" Type="http://schemas.openxmlformats.org/officeDocument/2006/relationships/hyperlink" Target="#ORV!A1"/><Relationship Id="rId29" Type="http://schemas.openxmlformats.org/officeDocument/2006/relationships/image" Target="../media/image6.png"/><Relationship Id="rId1" Type="http://schemas.openxmlformats.org/officeDocument/2006/relationships/hyperlink" Target="https://ridan.ru" TargetMode="External"/><Relationship Id="rId6" Type="http://schemas.openxmlformats.org/officeDocument/2006/relationships/hyperlink" Target="#SNV!A1"/><Relationship Id="rId11" Type="http://schemas.openxmlformats.org/officeDocument/2006/relationships/image" Target="../media/image4.svg"/><Relationship Id="rId24" Type="http://schemas.openxmlformats.org/officeDocument/2006/relationships/hyperlink" Target="#DSV!A1"/><Relationship Id="rId5" Type="http://schemas.openxmlformats.org/officeDocument/2006/relationships/hyperlink" Target="#'SVA-Q'!A1"/><Relationship Id="rId15" Type="http://schemas.openxmlformats.org/officeDocument/2006/relationships/hyperlink" Target="#PMLX!A1"/><Relationship Id="rId23" Type="http://schemas.openxmlformats.org/officeDocument/2006/relationships/hyperlink" Target="#'SFV-R'!A1"/><Relationship Id="rId28" Type="http://schemas.openxmlformats.org/officeDocument/2006/relationships/image" Target="../media/image5.png"/><Relationship Id="rId10" Type="http://schemas.openxmlformats.org/officeDocument/2006/relationships/image" Target="../media/image3.png"/><Relationship Id="rId19" Type="http://schemas.openxmlformats.org/officeDocument/2006/relationships/hyperlink" Target="#OFV!A1"/><Relationship Id="rId4" Type="http://schemas.openxmlformats.org/officeDocument/2006/relationships/hyperlink" Target="#SVA!A1"/><Relationship Id="rId9" Type="http://schemas.openxmlformats.org/officeDocument/2006/relationships/hyperlink" Target="#CHV!A1"/><Relationship Id="rId14" Type="http://schemas.openxmlformats.org/officeDocument/2006/relationships/hyperlink" Target="#'ICLX-R'!A1"/><Relationship Id="rId22" Type="http://schemas.openxmlformats.org/officeDocument/2006/relationships/hyperlink" Target="#'&#1057;&#1084;&#1086;&#1090;&#1088;&#1086;&#1099;&#1077; &#1089;&#1090;&#1077;&#1082;&#1083;&#1072;'!A1"/><Relationship Id="rId27" Type="http://schemas.openxmlformats.org/officeDocument/2006/relationships/hyperlink" Target="#'ICF-R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sales/cart" TargetMode="External"/><Relationship Id="rId3" Type="http://schemas.openxmlformats.org/officeDocument/2006/relationships/image" Target="../media/image32.png"/><Relationship Id="rId7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2.svg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1.png"/><Relationship Id="rId7" Type="http://schemas.microsoft.com/office/2007/relationships/hdphoto" Target="../media/hdphoto4.wdp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6" Type="http://schemas.openxmlformats.org/officeDocument/2006/relationships/image" Target="../media/image36.png"/><Relationship Id="rId11" Type="http://schemas.openxmlformats.org/officeDocument/2006/relationships/hyperlink" Target="https://ridan.ru/sales/cart" TargetMode="External"/><Relationship Id="rId5" Type="http://schemas.openxmlformats.org/officeDocument/2006/relationships/image" Target="../media/image35.png"/><Relationship Id="rId10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image" Target="../media/image2.svg"/><Relationship Id="rId9" Type="http://schemas.openxmlformats.org/officeDocument/2006/relationships/hyperlink" Target="#'&#1057;&#1086;&#1076;&#1077;&#1088;&#1078;&#1072;&#1085;&#1080;&#1077; 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13" Type="http://schemas.openxmlformats.org/officeDocument/2006/relationships/hyperlink" Target="https://ridan.ru/sales/cart" TargetMode="External"/><Relationship Id="rId3" Type="http://schemas.openxmlformats.org/officeDocument/2006/relationships/image" Target="../media/image39.png"/><Relationship Id="rId7" Type="http://schemas.openxmlformats.org/officeDocument/2006/relationships/image" Target="../media/image41.png"/><Relationship Id="rId12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38.png"/><Relationship Id="rId1" Type="http://schemas.openxmlformats.org/officeDocument/2006/relationships/image" Target="../media/image37.jpeg"/><Relationship Id="rId6" Type="http://schemas.openxmlformats.org/officeDocument/2006/relationships/image" Target="../media/image40.png"/><Relationship Id="rId11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2.svg"/><Relationship Id="rId10" Type="http://schemas.openxmlformats.org/officeDocument/2006/relationships/image" Target="../media/image44.png"/><Relationship Id="rId4" Type="http://schemas.openxmlformats.org/officeDocument/2006/relationships/image" Target="../media/image1.png"/><Relationship Id="rId9" Type="http://schemas.openxmlformats.org/officeDocument/2006/relationships/image" Target="../media/image4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3" Type="http://schemas.openxmlformats.org/officeDocument/2006/relationships/image" Target="../media/image2.svg"/><Relationship Id="rId7" Type="http://schemas.openxmlformats.org/officeDocument/2006/relationships/image" Target="../media/image44.png"/><Relationship Id="rId12" Type="http://schemas.openxmlformats.org/officeDocument/2006/relationships/hyperlink" Target="https://ridan.ru/sales/cart" TargetMode="External"/><Relationship Id="rId2" Type="http://schemas.openxmlformats.org/officeDocument/2006/relationships/image" Target="../media/image1.png"/><Relationship Id="rId1" Type="http://schemas.openxmlformats.org/officeDocument/2006/relationships/image" Target="../media/image45.png"/><Relationship Id="rId6" Type="http://schemas.openxmlformats.org/officeDocument/2006/relationships/image" Target="../media/image42.png"/><Relationship Id="rId11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image" Target="../media/image13.png"/><Relationship Id="rId10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12.png"/><Relationship Id="rId9" Type="http://schemas.openxmlformats.org/officeDocument/2006/relationships/image" Target="../media/image4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2.svg"/><Relationship Id="rId7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1.png"/><Relationship Id="rId1" Type="http://schemas.openxmlformats.org/officeDocument/2006/relationships/image" Target="../media/image47.jpeg"/><Relationship Id="rId6" Type="http://schemas.openxmlformats.org/officeDocument/2006/relationships/image" Target="../media/image50.png"/><Relationship Id="rId5" Type="http://schemas.openxmlformats.org/officeDocument/2006/relationships/image" Target="../media/image49.png"/><Relationship Id="rId4" Type="http://schemas.openxmlformats.org/officeDocument/2006/relationships/image" Target="../media/image48.png"/><Relationship Id="rId9" Type="http://schemas.openxmlformats.org/officeDocument/2006/relationships/hyperlink" Target="https://ridan.ru/sales/cart" TargetMode="Externa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51.png"/><Relationship Id="rId6" Type="http://schemas.openxmlformats.org/officeDocument/2006/relationships/hyperlink" Target="https://ridan.ru/sales/cart" TargetMode="External"/><Relationship Id="rId5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hyperlink" Target="#'&#1057;&#1086;&#1076;&#1077;&#1088;&#1078;&#1072;&#1085;&#1080;&#1077; '!A1"/></Relationships>
</file>

<file path=xl/drawings/_rels/drawing16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13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54.png"/><Relationship Id="rId7" Type="http://schemas.openxmlformats.org/officeDocument/2006/relationships/image" Target="../media/image56.png"/><Relationship Id="rId12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53.png"/><Relationship Id="rId1" Type="http://schemas.openxmlformats.org/officeDocument/2006/relationships/image" Target="../media/image52.png"/><Relationship Id="rId6" Type="http://schemas.openxmlformats.org/officeDocument/2006/relationships/image" Target="../media/image2.svg"/><Relationship Id="rId11" Type="http://schemas.openxmlformats.org/officeDocument/2006/relationships/image" Target="../media/image59.png"/><Relationship Id="rId5" Type="http://schemas.openxmlformats.org/officeDocument/2006/relationships/image" Target="../media/image1.png"/><Relationship Id="rId10" Type="http://schemas.openxmlformats.org/officeDocument/2006/relationships/image" Target="../media/image58.png"/><Relationship Id="rId4" Type="http://schemas.openxmlformats.org/officeDocument/2006/relationships/image" Target="../media/image55.png"/><Relationship Id="rId9" Type="http://schemas.openxmlformats.org/officeDocument/2006/relationships/image" Target="../media/image57.png"/><Relationship Id="rId14" Type="http://schemas.openxmlformats.org/officeDocument/2006/relationships/hyperlink" Target="https://ridan.ru/sales/cart" TargetMode="Externa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60.png"/><Relationship Id="rId6" Type="http://schemas.openxmlformats.org/officeDocument/2006/relationships/hyperlink" Target="https://ridan.ru/sales/cart" TargetMode="External"/><Relationship Id="rId5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hyperlink" Target="#'&#1057;&#1086;&#1076;&#1077;&#1088;&#1078;&#1072;&#1085;&#1080;&#1077; 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png"/><Relationship Id="rId3" Type="http://schemas.openxmlformats.org/officeDocument/2006/relationships/image" Target="../media/image1.png"/><Relationship Id="rId7" Type="http://schemas.openxmlformats.org/officeDocument/2006/relationships/image" Target="../media/image63.png"/><Relationship Id="rId2" Type="http://schemas.openxmlformats.org/officeDocument/2006/relationships/image" Target="../media/image62.jpeg"/><Relationship Id="rId1" Type="http://schemas.openxmlformats.org/officeDocument/2006/relationships/image" Target="../media/image61.png"/><Relationship Id="rId6" Type="http://schemas.openxmlformats.org/officeDocument/2006/relationships/image" Target="../media/image41.png"/><Relationship Id="rId11" Type="http://schemas.openxmlformats.org/officeDocument/2006/relationships/hyperlink" Target="https://ridan.ru/sales/cart" TargetMode="External"/><Relationship Id="rId5" Type="http://schemas.openxmlformats.org/officeDocument/2006/relationships/image" Target="../media/image40.png"/><Relationship Id="rId10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image" Target="../media/image2.svg"/><Relationship Id="rId9" Type="http://schemas.openxmlformats.org/officeDocument/2006/relationships/hyperlink" Target="#'&#1057;&#1086;&#1076;&#1077;&#1088;&#1078;&#1072;&#1085;&#1080;&#1077; 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sales/cart" TargetMode="External"/><Relationship Id="rId3" Type="http://schemas.openxmlformats.org/officeDocument/2006/relationships/image" Target="../media/image1.png"/><Relationship Id="rId7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66.png"/><Relationship Id="rId1" Type="http://schemas.openxmlformats.org/officeDocument/2006/relationships/image" Target="../media/image65.png"/><Relationship Id="rId6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67.png"/><Relationship Id="rId4" Type="http://schemas.openxmlformats.org/officeDocument/2006/relationships/image" Target="../media/image2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&#1057;&#1086;&#1076;&#1077;&#1088;&#1078;&#1072;&#1085;&#1080;&#1077; '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&#1057;&#1086;&#1076;&#1077;&#1088;&#1078;&#1072;&#1085;&#1080;&#1077; '!A1"/><Relationship Id="rId3" Type="http://schemas.openxmlformats.org/officeDocument/2006/relationships/image" Target="../media/image2.svg"/><Relationship Id="rId7" Type="http://schemas.openxmlformats.org/officeDocument/2006/relationships/image" Target="../media/image72.png"/><Relationship Id="rId2" Type="http://schemas.openxmlformats.org/officeDocument/2006/relationships/image" Target="../media/image1.png"/><Relationship Id="rId1" Type="http://schemas.openxmlformats.org/officeDocument/2006/relationships/image" Target="../media/image68.png"/><Relationship Id="rId6" Type="http://schemas.openxmlformats.org/officeDocument/2006/relationships/image" Target="../media/image71.png"/><Relationship Id="rId5" Type="http://schemas.openxmlformats.org/officeDocument/2006/relationships/image" Target="../media/image70.png"/><Relationship Id="rId10" Type="http://schemas.openxmlformats.org/officeDocument/2006/relationships/hyperlink" Target="https://ridan.ru/sales/cart" TargetMode="External"/><Relationship Id="rId4" Type="http://schemas.openxmlformats.org/officeDocument/2006/relationships/image" Target="../media/image69.png"/><Relationship Id="rId9" Type="http://schemas.openxmlformats.org/officeDocument/2006/relationships/hyperlink" Target="https://ridan.ru/files/1669/1669230-katalog_klapany_i_komponenty_dlya_promyshlennyh_sistem_holodosnabzheniya_2025.pdf" TargetMode="Externa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75.png"/><Relationship Id="rId7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74.png"/><Relationship Id="rId1" Type="http://schemas.openxmlformats.org/officeDocument/2006/relationships/image" Target="../media/image73.png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microsoft.com/office/2007/relationships/hdphoto" Target="../media/hdphoto6.wdp"/><Relationship Id="rId9" Type="http://schemas.openxmlformats.org/officeDocument/2006/relationships/hyperlink" Target="https://ridan.ru/sales/cart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openxmlformats.org/officeDocument/2006/relationships/hyperlink" Target="https://ridan.ru/sales/cart" TargetMode="External"/><Relationship Id="rId2" Type="http://schemas.openxmlformats.org/officeDocument/2006/relationships/image" Target="../media/image77.png"/><Relationship Id="rId1" Type="http://schemas.openxmlformats.org/officeDocument/2006/relationships/image" Target="../media/image76.png"/><Relationship Id="rId6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2.sv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png"/><Relationship Id="rId7" Type="http://schemas.openxmlformats.org/officeDocument/2006/relationships/hyperlink" Target="https://ridan.ru/sales/cart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79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1.png"/><Relationship Id="rId2" Type="http://schemas.openxmlformats.org/officeDocument/2006/relationships/image" Target="../media/image14.png"/><Relationship Id="rId1" Type="http://schemas.openxmlformats.org/officeDocument/2006/relationships/image" Target="../media/image80.png"/><Relationship Id="rId5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'&#1057;&#1086;&#1076;&#1077;&#1088;&#1078;&#1072;&#1085;&#1080;&#1077; '!A1"/><Relationship Id="rId7" Type="http://schemas.microsoft.com/office/2007/relationships/hdphoto" Target="../media/hdphoto1.wdp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microsoft.com/office/2007/relationships/hdphoto" Target="../media/hdphoto3.wdp"/><Relationship Id="rId5" Type="http://schemas.openxmlformats.org/officeDocument/2006/relationships/hyperlink" Target="https://ridan.ru/sales/cart" TargetMode="External"/><Relationship Id="rId10" Type="http://schemas.openxmlformats.org/officeDocument/2006/relationships/image" Target="../media/image9.png"/><Relationship Id="rId4" Type="http://schemas.openxmlformats.org/officeDocument/2006/relationships/hyperlink" Target="https://ridan.ru/files/1669/1669230-katalog_klapany_i_komponenty_dlya_promyshlennyh_sistem_holodosnabzheniya_2025.pdf" TargetMode="External"/><Relationship Id="rId9" Type="http://schemas.microsoft.com/office/2007/relationships/hdphoto" Target="../media/hdphoto2.wdp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hyperlink" Target="https://ridan.ru/files/1669/1669230-katalog_klapany_i_komponenty_dlya_promyshlennyh_sistem_holodosnabzheniya_2025.pdf" TargetMode="External"/><Relationship Id="rId3" Type="http://schemas.openxmlformats.org/officeDocument/2006/relationships/image" Target="../media/image12.png"/><Relationship Id="rId7" Type="http://schemas.openxmlformats.org/officeDocument/2006/relationships/image" Target="../media/image14.png"/><Relationship Id="rId12" Type="http://schemas.openxmlformats.org/officeDocument/2006/relationships/hyperlink" Target="#'&#1057;&#1086;&#1076;&#1077;&#1088;&#1078;&#1072;&#1085;&#1080;&#1077; '!A1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2.svg"/><Relationship Id="rId11" Type="http://schemas.openxmlformats.org/officeDocument/2006/relationships/image" Target="../media/image18.png"/><Relationship Id="rId5" Type="http://schemas.openxmlformats.org/officeDocument/2006/relationships/image" Target="../media/image1.png"/><Relationship Id="rId10" Type="http://schemas.openxmlformats.org/officeDocument/2006/relationships/image" Target="../media/image17.png"/><Relationship Id="rId4" Type="http://schemas.openxmlformats.org/officeDocument/2006/relationships/image" Target="../media/image13.png"/><Relationship Id="rId9" Type="http://schemas.openxmlformats.org/officeDocument/2006/relationships/image" Target="../media/image16.png"/><Relationship Id="rId14" Type="http://schemas.openxmlformats.org/officeDocument/2006/relationships/hyperlink" Target="https://ridan.ru/sales/cart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image" Target="../media/image19.png"/><Relationship Id="rId6" Type="http://schemas.openxmlformats.org/officeDocument/2006/relationships/hyperlink" Target="https://ridan.ru/sales/cart" TargetMode="External"/><Relationship Id="rId5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hyperlink" Target="#'&#1057;&#1086;&#1076;&#1077;&#1088;&#1078;&#1072;&#1085;&#1080;&#1077; 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.png"/><Relationship Id="rId7" Type="http://schemas.openxmlformats.org/officeDocument/2006/relationships/image" Target="../media/image17.pn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16.png"/><Relationship Id="rId11" Type="http://schemas.openxmlformats.org/officeDocument/2006/relationships/hyperlink" Target="https://ridan.ru/sales/cart" TargetMode="External"/><Relationship Id="rId5" Type="http://schemas.openxmlformats.org/officeDocument/2006/relationships/image" Target="../media/image14.png"/><Relationship Id="rId10" Type="http://schemas.openxmlformats.org/officeDocument/2006/relationships/hyperlink" Target="https://ridan.ru/files/1669/1669230-katalog_klapany_i_komponenty_dlya_promyshlennyh_sistem_holodosnabzheniya_2025.pdf" TargetMode="External"/><Relationship Id="rId4" Type="http://schemas.openxmlformats.org/officeDocument/2006/relationships/image" Target="../media/image2.svg"/><Relationship Id="rId9" Type="http://schemas.openxmlformats.org/officeDocument/2006/relationships/hyperlink" Target="#'&#1057;&#1086;&#1076;&#1077;&#1088;&#1078;&#1072;&#1085;&#1080;&#1077; 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&#1057;&#1086;&#1076;&#1077;&#1088;&#1078;&#1072;&#1085;&#1080;&#1077; '!A1"/><Relationship Id="rId3" Type="http://schemas.openxmlformats.org/officeDocument/2006/relationships/image" Target="../media/image1.png"/><Relationship Id="rId7" Type="http://schemas.openxmlformats.org/officeDocument/2006/relationships/image" Target="../media/image16.png"/><Relationship Id="rId2" Type="http://schemas.openxmlformats.org/officeDocument/2006/relationships/image" Target="../media/image23.jpeg"/><Relationship Id="rId1" Type="http://schemas.openxmlformats.org/officeDocument/2006/relationships/image" Target="../media/image22.jpe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10" Type="http://schemas.openxmlformats.org/officeDocument/2006/relationships/hyperlink" Target="https://ridan.ru/sales/cart" TargetMode="External"/><Relationship Id="rId4" Type="http://schemas.openxmlformats.org/officeDocument/2006/relationships/image" Target="../media/image2.svg"/><Relationship Id="rId9" Type="http://schemas.openxmlformats.org/officeDocument/2006/relationships/hyperlink" Target="https://ridan.ru/files/1669/1669230-katalog_klapany_i_komponenty_dlya_promyshlennyh_sistem_holodosnabzheniya_2025.pdf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hyperlink" Target="https://ridan.ru/sales/cart" TargetMode="External"/><Relationship Id="rId3" Type="http://schemas.openxmlformats.org/officeDocument/2006/relationships/image" Target="../media/image1.png"/><Relationship Id="rId7" Type="http://schemas.openxmlformats.org/officeDocument/2006/relationships/image" Target="../media/image14.png"/><Relationship Id="rId12" Type="http://schemas.openxmlformats.org/officeDocument/2006/relationships/hyperlink" Target="https://ridan.ru/files/1669/1669230-katalog_klapany_i_komponenty_dlya_promyshlennyh_sistem_holodosnabzheniya_2025.pdf" TargetMode="External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6" Type="http://schemas.openxmlformats.org/officeDocument/2006/relationships/image" Target="../media/image13.png"/><Relationship Id="rId11" Type="http://schemas.openxmlformats.org/officeDocument/2006/relationships/hyperlink" Target="#'&#1057;&#1086;&#1076;&#1077;&#1088;&#1078;&#1072;&#1085;&#1080;&#1077; '!A1"/><Relationship Id="rId5" Type="http://schemas.openxmlformats.org/officeDocument/2006/relationships/image" Target="../media/image12.png"/><Relationship Id="rId10" Type="http://schemas.openxmlformats.org/officeDocument/2006/relationships/image" Target="../media/image18.png"/><Relationship Id="rId4" Type="http://schemas.openxmlformats.org/officeDocument/2006/relationships/image" Target="../media/image2.svg"/><Relationship Id="rId9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28.jpeg"/><Relationship Id="rId7" Type="http://schemas.openxmlformats.org/officeDocument/2006/relationships/image" Target="../media/image12.png"/><Relationship Id="rId12" Type="http://schemas.openxmlformats.org/officeDocument/2006/relationships/hyperlink" Target="https://ridan.ru/sales/cart" TargetMode="External"/><Relationship Id="rId2" Type="http://schemas.openxmlformats.org/officeDocument/2006/relationships/image" Target="../media/image27.png"/><Relationship Id="rId1" Type="http://schemas.openxmlformats.org/officeDocument/2006/relationships/image" Target="../media/image26.jpeg"/><Relationship Id="rId6" Type="http://schemas.openxmlformats.org/officeDocument/2006/relationships/image" Target="../media/image29.jpeg"/><Relationship Id="rId11" Type="http://schemas.openxmlformats.org/officeDocument/2006/relationships/hyperlink" Target="https://ridan.ru/files/1669/1669230-katalog_klapany_i_komponenty_dlya_promyshlennyh_sistem_holodosnabzheniya_2025.pdf" TargetMode="External"/><Relationship Id="rId5" Type="http://schemas.openxmlformats.org/officeDocument/2006/relationships/image" Target="../media/image2.svg"/><Relationship Id="rId10" Type="http://schemas.openxmlformats.org/officeDocument/2006/relationships/hyperlink" Target="#'&#1057;&#1086;&#1076;&#1077;&#1088;&#1078;&#1072;&#1085;&#1080;&#1077; '!A1"/><Relationship Id="rId4" Type="http://schemas.openxmlformats.org/officeDocument/2006/relationships/image" Target="../media/image1.png"/><Relationship Id="rId9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729000</xdr:colOff>
      <xdr:row>2</xdr:row>
      <xdr:rowOff>85320</xdr:rowOff>
    </xdr:from>
    <xdr:to>
      <xdr:col>13</xdr:col>
      <xdr:colOff>657000</xdr:colOff>
      <xdr:row>4</xdr:row>
      <xdr:rowOff>79200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6524" t="20416" r="6347" b="21705"/>
        <a:stretch/>
      </xdr:blipFill>
      <xdr:spPr>
        <a:xfrm>
          <a:off x="5681520" y="371160"/>
          <a:ext cx="1957320" cy="42228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12</xdr:col>
      <xdr:colOff>591480</xdr:colOff>
      <xdr:row>12</xdr:row>
      <xdr:rowOff>41760</xdr:rowOff>
    </xdr:from>
    <xdr:to>
      <xdr:col>14</xdr:col>
      <xdr:colOff>4680</xdr:colOff>
      <xdr:row>12</xdr:row>
      <xdr:rowOff>225360</xdr:rowOff>
    </xdr:to>
    <xdr:sp macro="" textlink="">
      <xdr:nvSpPr>
        <xdr:cNvPr id="3" name="Прямоугольник: скругленные углы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61680" y="2327760"/>
          <a:ext cx="744840" cy="183600"/>
        </a:xfrm>
        <a:prstGeom prst="roundRect">
          <a:avLst>
            <a:gd name="adj" fmla="val 16667"/>
          </a:avLst>
        </a:prstGeom>
        <a:noFill/>
        <a:ln w="9525">
          <a:solidFill>
            <a:srgbClr val="E7E6E6">
              <a:lumMod val="7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586800</xdr:colOff>
      <xdr:row>13</xdr:row>
      <xdr:rowOff>39960</xdr:rowOff>
    </xdr:from>
    <xdr:to>
      <xdr:col>13</xdr:col>
      <xdr:colOff>720000</xdr:colOff>
      <xdr:row>13</xdr:row>
      <xdr:rowOff>223560</xdr:rowOff>
    </xdr:to>
    <xdr:sp macro="" textlink="">
      <xdr:nvSpPr>
        <xdr:cNvPr id="4" name="Прямоугольник: скругленные углы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57000" y="2563920"/>
          <a:ext cx="744840" cy="183600"/>
        </a:xfrm>
        <a:prstGeom prst="roundRect">
          <a:avLst>
            <a:gd name="adj" fmla="val 16667"/>
          </a:avLst>
        </a:prstGeom>
        <a:noFill/>
        <a:ln w="9525">
          <a:solidFill>
            <a:srgbClr val="E7E6E6">
              <a:lumMod val="7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588960</xdr:colOff>
      <xdr:row>14</xdr:row>
      <xdr:rowOff>37080</xdr:rowOff>
    </xdr:from>
    <xdr:to>
      <xdr:col>14</xdr:col>
      <xdr:colOff>2160</xdr:colOff>
      <xdr:row>14</xdr:row>
      <xdr:rowOff>220680</xdr:rowOff>
    </xdr:to>
    <xdr:sp macro="" textlink="">
      <xdr:nvSpPr>
        <xdr:cNvPr id="5" name="Прямоугольник: скругленные углы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959160" y="2799360"/>
          <a:ext cx="744840" cy="183600"/>
        </a:xfrm>
        <a:prstGeom prst="roundRect">
          <a:avLst>
            <a:gd name="adj" fmla="val 16667"/>
          </a:avLst>
        </a:prstGeom>
        <a:noFill/>
        <a:ln w="9525">
          <a:solidFill>
            <a:srgbClr val="E7E6E6">
              <a:lumMod val="7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589680</xdr:colOff>
      <xdr:row>17</xdr:row>
      <xdr:rowOff>33480</xdr:rowOff>
    </xdr:from>
    <xdr:to>
      <xdr:col>14</xdr:col>
      <xdr:colOff>2880</xdr:colOff>
      <xdr:row>17</xdr:row>
      <xdr:rowOff>217080</xdr:rowOff>
    </xdr:to>
    <xdr:sp macro="" textlink="">
      <xdr:nvSpPr>
        <xdr:cNvPr id="6" name="Прямоугольник: скругленные углы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959880" y="3414960"/>
          <a:ext cx="744840" cy="183600"/>
        </a:xfrm>
        <a:prstGeom prst="roundRect">
          <a:avLst>
            <a:gd name="adj" fmla="val 16667"/>
          </a:avLst>
        </a:prstGeom>
        <a:noFill/>
        <a:ln w="9525">
          <a:solidFill>
            <a:srgbClr val="E7E6E6">
              <a:lumMod val="7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586800</xdr:colOff>
      <xdr:row>20</xdr:row>
      <xdr:rowOff>41400</xdr:rowOff>
    </xdr:from>
    <xdr:to>
      <xdr:col>13</xdr:col>
      <xdr:colOff>676440</xdr:colOff>
      <xdr:row>20</xdr:row>
      <xdr:rowOff>225000</xdr:rowOff>
    </xdr:to>
    <xdr:sp macro="" textlink="">
      <xdr:nvSpPr>
        <xdr:cNvPr id="7" name="Прямоугольник: скругленные углы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57000" y="4042080"/>
          <a:ext cx="701280" cy="183600"/>
        </a:xfrm>
        <a:prstGeom prst="roundRect">
          <a:avLst>
            <a:gd name="adj" fmla="val 16667"/>
          </a:avLst>
        </a:prstGeom>
        <a:noFill/>
        <a:ln w="9525">
          <a:solidFill>
            <a:srgbClr val="E7E6E6">
              <a:lumMod val="7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546120</xdr:colOff>
      <xdr:row>21</xdr:row>
      <xdr:rowOff>9000</xdr:rowOff>
    </xdr:from>
    <xdr:to>
      <xdr:col>14</xdr:col>
      <xdr:colOff>89640</xdr:colOff>
      <xdr:row>22</xdr:row>
      <xdr:rowOff>74160</xdr:rowOff>
    </xdr:to>
    <xdr:pic>
      <xdr:nvPicPr>
        <xdr:cNvPr id="8" name="Рисунок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16320" y="4247640"/>
          <a:ext cx="875160" cy="303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548640</xdr:colOff>
      <xdr:row>24</xdr:row>
      <xdr:rowOff>7200</xdr:rowOff>
    </xdr:from>
    <xdr:to>
      <xdr:col>14</xdr:col>
      <xdr:colOff>92160</xdr:colOff>
      <xdr:row>25</xdr:row>
      <xdr:rowOff>72360</xdr:rowOff>
    </xdr:to>
    <xdr:pic>
      <xdr:nvPicPr>
        <xdr:cNvPr id="9" name="Рисунок 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18840" y="4865040"/>
          <a:ext cx="875160" cy="303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551160</xdr:colOff>
      <xdr:row>27</xdr:row>
      <xdr:rowOff>13680</xdr:rowOff>
    </xdr:from>
    <xdr:to>
      <xdr:col>14</xdr:col>
      <xdr:colOff>94680</xdr:colOff>
      <xdr:row>28</xdr:row>
      <xdr:rowOff>78840</xdr:rowOff>
    </xdr:to>
    <xdr:pic>
      <xdr:nvPicPr>
        <xdr:cNvPr id="10" name="Рисунок 9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21360" y="5490720"/>
          <a:ext cx="875160" cy="303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545400</xdr:colOff>
      <xdr:row>28</xdr:row>
      <xdr:rowOff>16200</xdr:rowOff>
    </xdr:from>
    <xdr:to>
      <xdr:col>14</xdr:col>
      <xdr:colOff>88920</xdr:colOff>
      <xdr:row>29</xdr:row>
      <xdr:rowOff>81360</xdr:rowOff>
    </xdr:to>
    <xdr:pic>
      <xdr:nvPicPr>
        <xdr:cNvPr id="11" name="Рисунок 1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15600" y="5731200"/>
          <a:ext cx="875160" cy="303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547920</xdr:colOff>
      <xdr:row>29</xdr:row>
      <xdr:rowOff>2520</xdr:rowOff>
    </xdr:from>
    <xdr:to>
      <xdr:col>14</xdr:col>
      <xdr:colOff>91440</xdr:colOff>
      <xdr:row>30</xdr:row>
      <xdr:rowOff>67680</xdr:rowOff>
    </xdr:to>
    <xdr:pic>
      <xdr:nvPicPr>
        <xdr:cNvPr id="12" name="Рисунок 1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18120" y="5955480"/>
          <a:ext cx="875160" cy="30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550080</xdr:colOff>
      <xdr:row>32</xdr:row>
      <xdr:rowOff>21240</xdr:rowOff>
    </xdr:from>
    <xdr:to>
      <xdr:col>14</xdr:col>
      <xdr:colOff>93600</xdr:colOff>
      <xdr:row>33</xdr:row>
      <xdr:rowOff>37800</xdr:rowOff>
    </xdr:to>
    <xdr:pic>
      <xdr:nvPicPr>
        <xdr:cNvPr id="13" name="Рисунок 1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20280" y="6593400"/>
          <a:ext cx="875160" cy="30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548640</xdr:colOff>
      <xdr:row>33</xdr:row>
      <xdr:rowOff>27720</xdr:rowOff>
    </xdr:from>
    <xdr:to>
      <xdr:col>14</xdr:col>
      <xdr:colOff>92160</xdr:colOff>
      <xdr:row>34</xdr:row>
      <xdr:rowOff>44280</xdr:rowOff>
    </xdr:to>
    <xdr:pic>
      <xdr:nvPicPr>
        <xdr:cNvPr id="14" name="Рисунок 1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18840" y="6885720"/>
          <a:ext cx="875160" cy="30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546840</xdr:colOff>
      <xdr:row>34</xdr:row>
      <xdr:rowOff>34200</xdr:rowOff>
    </xdr:from>
    <xdr:to>
      <xdr:col>14</xdr:col>
      <xdr:colOff>90360</xdr:colOff>
      <xdr:row>35</xdr:row>
      <xdr:rowOff>50760</xdr:rowOff>
    </xdr:to>
    <xdr:pic>
      <xdr:nvPicPr>
        <xdr:cNvPr id="15" name="Рисунок 1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17040" y="7178040"/>
          <a:ext cx="875160" cy="30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549360</xdr:colOff>
      <xdr:row>35</xdr:row>
      <xdr:rowOff>28440</xdr:rowOff>
    </xdr:from>
    <xdr:to>
      <xdr:col>14</xdr:col>
      <xdr:colOff>92880</xdr:colOff>
      <xdr:row>36</xdr:row>
      <xdr:rowOff>45000</xdr:rowOff>
    </xdr:to>
    <xdr:pic>
      <xdr:nvPicPr>
        <xdr:cNvPr id="16" name="Рисунок 1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19560" y="7458120"/>
          <a:ext cx="875160" cy="30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547920</xdr:colOff>
      <xdr:row>36</xdr:row>
      <xdr:rowOff>22680</xdr:rowOff>
    </xdr:from>
    <xdr:to>
      <xdr:col>14</xdr:col>
      <xdr:colOff>91440</xdr:colOff>
      <xdr:row>37</xdr:row>
      <xdr:rowOff>39240</xdr:rowOff>
    </xdr:to>
    <xdr:pic>
      <xdr:nvPicPr>
        <xdr:cNvPr id="17" name="Рисунок 1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18120" y="7737840"/>
          <a:ext cx="875160" cy="302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550080</xdr:colOff>
      <xdr:row>39</xdr:row>
      <xdr:rowOff>9000</xdr:rowOff>
    </xdr:from>
    <xdr:to>
      <xdr:col>14</xdr:col>
      <xdr:colOff>93600</xdr:colOff>
      <xdr:row>40</xdr:row>
      <xdr:rowOff>74160</xdr:rowOff>
    </xdr:to>
    <xdr:pic>
      <xdr:nvPicPr>
        <xdr:cNvPr id="18" name="Рисунок 1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20280" y="8390880"/>
          <a:ext cx="875160" cy="30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551160</xdr:colOff>
      <xdr:row>40</xdr:row>
      <xdr:rowOff>9000</xdr:rowOff>
    </xdr:from>
    <xdr:to>
      <xdr:col>14</xdr:col>
      <xdr:colOff>92880</xdr:colOff>
      <xdr:row>41</xdr:row>
      <xdr:rowOff>74160</xdr:rowOff>
    </xdr:to>
    <xdr:pic>
      <xdr:nvPicPr>
        <xdr:cNvPr id="19" name="Рисунок 1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21360" y="8629200"/>
          <a:ext cx="873360" cy="303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550080</xdr:colOff>
      <xdr:row>43</xdr:row>
      <xdr:rowOff>12600</xdr:rowOff>
    </xdr:from>
    <xdr:to>
      <xdr:col>14</xdr:col>
      <xdr:colOff>93600</xdr:colOff>
      <xdr:row>44</xdr:row>
      <xdr:rowOff>77760</xdr:rowOff>
    </xdr:to>
    <xdr:pic>
      <xdr:nvPicPr>
        <xdr:cNvPr id="20" name="Рисунок 19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20280" y="9252000"/>
          <a:ext cx="875160" cy="303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549000</xdr:colOff>
      <xdr:row>44</xdr:row>
      <xdr:rowOff>6840</xdr:rowOff>
    </xdr:from>
    <xdr:to>
      <xdr:col>14</xdr:col>
      <xdr:colOff>92520</xdr:colOff>
      <xdr:row>45</xdr:row>
      <xdr:rowOff>72000</xdr:rowOff>
    </xdr:to>
    <xdr:pic>
      <xdr:nvPicPr>
        <xdr:cNvPr id="21" name="Рисунок 20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19200" y="9484200"/>
          <a:ext cx="875160" cy="30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554040</xdr:colOff>
      <xdr:row>47</xdr:row>
      <xdr:rowOff>10800</xdr:rowOff>
    </xdr:from>
    <xdr:to>
      <xdr:col>14</xdr:col>
      <xdr:colOff>97560</xdr:colOff>
      <xdr:row>48</xdr:row>
      <xdr:rowOff>75960</xdr:rowOff>
    </xdr:to>
    <xdr:pic>
      <xdr:nvPicPr>
        <xdr:cNvPr id="22" name="Рисунок 2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24240" y="10126440"/>
          <a:ext cx="875160" cy="303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552600</xdr:colOff>
      <xdr:row>50</xdr:row>
      <xdr:rowOff>9720</xdr:rowOff>
    </xdr:from>
    <xdr:to>
      <xdr:col>14</xdr:col>
      <xdr:colOff>96120</xdr:colOff>
      <xdr:row>51</xdr:row>
      <xdr:rowOff>74880</xdr:rowOff>
    </xdr:to>
    <xdr:pic>
      <xdr:nvPicPr>
        <xdr:cNvPr id="23" name="Рисунок 22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/>
      </xdr:blipFill>
      <xdr:spPr>
        <a:xfrm>
          <a:off x="6922800" y="10744560"/>
          <a:ext cx="875160" cy="30312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12</xdr:col>
      <xdr:colOff>591480</xdr:colOff>
      <xdr:row>9</xdr:row>
      <xdr:rowOff>41760</xdr:rowOff>
    </xdr:from>
    <xdr:to>
      <xdr:col>14</xdr:col>
      <xdr:colOff>4680</xdr:colOff>
      <xdr:row>9</xdr:row>
      <xdr:rowOff>225360</xdr:rowOff>
    </xdr:to>
    <xdr:sp macro="" textlink="">
      <xdr:nvSpPr>
        <xdr:cNvPr id="24" name="Прямоугольник: скругленные углы 2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961680" y="1708560"/>
          <a:ext cx="744840" cy="183600"/>
        </a:xfrm>
        <a:prstGeom prst="roundRect">
          <a:avLst>
            <a:gd name="adj" fmla="val 16667"/>
          </a:avLst>
        </a:prstGeom>
        <a:noFill/>
        <a:ln w="9525">
          <a:solidFill>
            <a:srgbClr val="E7E6E6">
              <a:lumMod val="7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27</xdr:col>
      <xdr:colOff>347760</xdr:colOff>
      <xdr:row>2</xdr:row>
      <xdr:rowOff>75960</xdr:rowOff>
    </xdr:from>
    <xdr:to>
      <xdr:col>29</xdr:col>
      <xdr:colOff>777600</xdr:colOff>
      <xdr:row>4</xdr:row>
      <xdr:rowOff>70200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6524" t="20416" r="6347" b="21705"/>
        <a:stretch/>
      </xdr:blipFill>
      <xdr:spPr>
        <a:xfrm>
          <a:off x="14075280" y="361800"/>
          <a:ext cx="1909440" cy="42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33</xdr:col>
      <xdr:colOff>392040</xdr:colOff>
      <xdr:row>38</xdr:row>
      <xdr:rowOff>111960</xdr:rowOff>
    </xdr:from>
    <xdr:to>
      <xdr:col>33</xdr:col>
      <xdr:colOff>576360</xdr:colOff>
      <xdr:row>39</xdr:row>
      <xdr:rowOff>138240</xdr:rowOff>
    </xdr:to>
    <xdr:sp macro="" textlink="">
      <xdr:nvSpPr>
        <xdr:cNvPr id="26" name="TextBox 3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93840" y="8255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18</xdr:col>
      <xdr:colOff>93960</xdr:colOff>
      <xdr:row>41</xdr:row>
      <xdr:rowOff>123120</xdr:rowOff>
    </xdr:from>
    <xdr:to>
      <xdr:col>24</xdr:col>
      <xdr:colOff>425160</xdr:colOff>
      <xdr:row>51</xdr:row>
      <xdr:rowOff>161640</xdr:rowOff>
    </xdr:to>
    <xdr:grpSp>
      <xdr:nvGrpSpPr>
        <xdr:cNvPr id="27" name="Группа 4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8684603" y="8877049"/>
          <a:ext cx="3524343" cy="2115877"/>
          <a:chOff x="8773200" y="8981280"/>
          <a:chExt cx="3544920" cy="2153160"/>
        </a:xfrm>
      </xdr:grpSpPr>
      <xdr:sp macro="" textlink="">
        <xdr:nvSpPr>
          <xdr:cNvPr id="28" name="Прямоугольник: скругленные углы 29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8773200" y="9177480"/>
            <a:ext cx="3544920" cy="1697400"/>
          </a:xfrm>
          <a:prstGeom prst="roundRect">
            <a:avLst>
              <a:gd name="adj" fmla="val 13802"/>
            </a:avLst>
          </a:prstGeom>
          <a:solidFill>
            <a:srgbClr val="FFFFFF"/>
          </a:solidFill>
          <a:ln w="12700">
            <a:noFill/>
          </a:ln>
          <a:effectLst>
            <a:outerShdw blurRad="63360" sx="102000" sy="102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/>
        </xdr:style>
      </xdr:sp>
      <xdr:pic>
        <xdr:nvPicPr>
          <xdr:cNvPr id="29" name="Рисунок 30" descr="Изображение выглядит как снимок экрана, Графика, графический дизайн, дизайн&#10;&#10;Автоматически созданное описание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/>
        </xdr:nvPicPr>
        <xdr:blipFill>
          <a:blip xmlns:r="http://schemas.openxmlformats.org/officeDocument/2006/relationships" r:embed="rId28"/>
          <a:srcRect l="13010" t="7741" r="15202" b="16873"/>
          <a:stretch/>
        </xdr:blipFill>
        <xdr:spPr>
          <a:xfrm>
            <a:off x="8898840" y="9294840"/>
            <a:ext cx="1456200" cy="1443600"/>
          </a:xfrm>
          <a:prstGeom prst="rect">
            <a:avLst/>
          </a:prstGeom>
          <a:noFill/>
          <a:ln w="0">
            <a:noFill/>
          </a:ln>
        </xdr:spPr>
      </xdr:pic>
      <xdr:sp macro="" textlink="">
        <xdr:nvSpPr>
          <xdr:cNvPr id="30" name="TextBox 38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10288440" y="8981280"/>
            <a:ext cx="1973160" cy="2153160"/>
          </a:xfrm>
          <a:prstGeom prst="rect">
            <a:avLst/>
          </a:prstGeom>
          <a:noFill/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horzOverflow="clip" lIns="90000" tIns="45000" rIns="90000" bIns="45000" anchor="ctr">
            <a:noAutofit/>
          </a:bodyPr>
          <a:lstStyle/>
          <a:p>
            <a:pPr algn="ctr">
              <a:lnSpc>
                <a:spcPct val="100000"/>
              </a:lnSpc>
            </a:pPr>
            <a:r>
              <a:rPr lang="en-US" sz="1400" b="0" u="none" strike="noStrike">
                <a:solidFill>
                  <a:srgbClr val="0000FF"/>
                </a:solidFill>
                <a:effectLst/>
                <a:uFillTx/>
                <a:latin typeface="Verdana"/>
                <a:ea typeface="Verdana"/>
              </a:rPr>
              <a:t>Telegram</a:t>
            </a:r>
            <a:br/>
            <a:br/>
            <a:r>
              <a:rPr lang="ru-RU" sz="1200" b="0" u="none" strike="noStrike">
                <a:solidFill>
                  <a:schemeClr val="dk1"/>
                </a:solidFill>
                <a:effectLst/>
                <a:uFillTx/>
                <a:latin typeface="Verdana"/>
                <a:ea typeface="Verdana"/>
              </a:rPr>
              <a:t>Территория профессионалов </a:t>
            </a:r>
            <a:br/>
            <a:r>
              <a:rPr lang="ru-RU" sz="1200" b="0" u="none" strike="noStrike">
                <a:solidFill>
                  <a:schemeClr val="dk1"/>
                </a:solidFill>
                <a:effectLst/>
                <a:uFillTx/>
                <a:latin typeface="Verdana"/>
                <a:ea typeface="Verdana"/>
              </a:rPr>
              <a:t>в области холода</a:t>
            </a:r>
            <a:br/>
            <a:r>
              <a:rPr lang="ru-RU" sz="1100" b="0" u="none" strike="noStrike">
                <a:solidFill>
                  <a:schemeClr val="dk1"/>
                </a:solidFill>
                <a:effectLst/>
                <a:uFillTx/>
                <a:latin typeface="Verdana"/>
                <a:ea typeface="Verdana"/>
              </a:rPr>
              <a:t> </a:t>
            </a:r>
            <a:br/>
            <a:r>
              <a:rPr lang="en-US" sz="1400" b="0" u="none" strike="noStrike">
                <a:solidFill>
                  <a:srgbClr val="0000FF"/>
                </a:solidFill>
                <a:effectLst/>
                <a:uFillTx/>
                <a:latin typeface="Verdana"/>
                <a:ea typeface="Verdana"/>
              </a:rPr>
              <a:t> @HOLODPORTAL</a:t>
            </a:r>
            <a:endParaRPr lang="ru-RU" sz="14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  <xdr:twoCellAnchor>
    <xdr:from>
      <xdr:col>25</xdr:col>
      <xdr:colOff>89640</xdr:colOff>
      <xdr:row>42</xdr:row>
      <xdr:rowOff>168120</xdr:rowOff>
    </xdr:from>
    <xdr:to>
      <xdr:col>30</xdr:col>
      <xdr:colOff>78480</xdr:colOff>
      <xdr:row>50</xdr:row>
      <xdr:rowOff>146520</xdr:rowOff>
    </xdr:to>
    <xdr:grpSp>
      <xdr:nvGrpSpPr>
        <xdr:cNvPr id="31" name="Группа 4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2481211" y="9058120"/>
          <a:ext cx="3626483" cy="1683829"/>
          <a:chOff x="12594240" y="9169200"/>
          <a:chExt cx="3662280" cy="1712160"/>
        </a:xfrm>
      </xdr:grpSpPr>
      <xdr:sp macro="" textlink="">
        <xdr:nvSpPr>
          <xdr:cNvPr id="32" name="Прямоугольник: скругленные углы 3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12594240" y="9169200"/>
            <a:ext cx="3656880" cy="1695240"/>
          </a:xfrm>
          <a:prstGeom prst="roundRect">
            <a:avLst>
              <a:gd name="adj" fmla="val 13802"/>
            </a:avLst>
          </a:prstGeom>
          <a:solidFill>
            <a:srgbClr val="FFFFFF"/>
          </a:solidFill>
          <a:ln w="12700">
            <a:noFill/>
          </a:ln>
          <a:effectLst>
            <a:outerShdw blurRad="63360" sx="102000" sy="102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/>
        </xdr:style>
      </xdr:sp>
      <xdr:pic>
        <xdr:nvPicPr>
          <xdr:cNvPr id="33" name="Рисунок 3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/>
        </xdr:nvPicPr>
        <xdr:blipFill>
          <a:blip xmlns:r="http://schemas.openxmlformats.org/officeDocument/2006/relationships" r:embed="rId29"/>
          <a:stretch/>
        </xdr:blipFill>
        <xdr:spPr>
          <a:xfrm>
            <a:off x="12612960" y="9198360"/>
            <a:ext cx="1752120" cy="1683000"/>
          </a:xfrm>
          <a:prstGeom prst="rect">
            <a:avLst/>
          </a:prstGeom>
          <a:noFill/>
          <a:ln w="0">
            <a:noFill/>
          </a:ln>
        </xdr:spPr>
      </xdr:pic>
      <xdr:sp macro="" textlink="">
        <xdr:nvSpPr>
          <xdr:cNvPr id="34" name="TextBox 40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4190840" y="9216720"/>
            <a:ext cx="2065680" cy="1527120"/>
          </a:xfrm>
          <a:prstGeom prst="rect">
            <a:avLst/>
          </a:prstGeom>
          <a:noFill/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vertOverflow="clip" horzOverflow="clip" lIns="90000" tIns="45000" rIns="90000" bIns="45000" anchor="ctr">
            <a:noAutofit/>
          </a:bodyPr>
          <a:lstStyle/>
          <a:p>
            <a:pPr algn="ctr">
              <a:lnSpc>
                <a:spcPct val="100000"/>
              </a:lnSpc>
            </a:pPr>
            <a:r>
              <a:rPr lang="ru-RU" sz="1400" b="0" u="none" strike="noStrike">
                <a:solidFill>
                  <a:srgbClr val="0000FF"/>
                </a:solidFill>
                <a:effectLst/>
                <a:uFillTx/>
                <a:latin typeface="Verdana"/>
                <a:ea typeface="Verdana"/>
              </a:rPr>
              <a:t>Дзен</a:t>
            </a:r>
            <a:br/>
            <a:br/>
            <a:r>
              <a:rPr lang="ru-RU" sz="1200" b="0" u="none" strike="noStrike">
                <a:solidFill>
                  <a:schemeClr val="dk1"/>
                </a:solidFill>
                <a:effectLst/>
                <a:uFillTx/>
                <a:latin typeface="Verdana"/>
                <a:ea typeface="Verdana"/>
              </a:rPr>
              <a:t> Обучающие видео, реализованные кейсы для инженеров холодо- и теплоснабжения</a:t>
            </a:r>
            <a:endParaRPr lang="ru-RU" sz="12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232560</xdr:colOff>
      <xdr:row>2</xdr:row>
      <xdr:rowOff>161280</xdr:rowOff>
    </xdr:from>
    <xdr:to>
      <xdr:col>12</xdr:col>
      <xdr:colOff>160560</xdr:colOff>
      <xdr:row>7</xdr:row>
      <xdr:rowOff>155880</xdr:rowOff>
    </xdr:to>
    <xdr:pic>
      <xdr:nvPicPr>
        <xdr:cNvPr id="124" name="Рисунок 2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PicPr/>
      </xdr:nvPicPr>
      <xdr:blipFill>
        <a:blip xmlns:r="http://schemas.openxmlformats.org/officeDocument/2006/relationships" r:embed="rId1"/>
        <a:srcRect l="51655" t="34479" r="34367" b="14074"/>
        <a:stretch/>
      </xdr:blipFill>
      <xdr:spPr>
        <a:xfrm>
          <a:off x="12369240" y="837720"/>
          <a:ext cx="664200" cy="1328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307440</xdr:colOff>
      <xdr:row>2</xdr:row>
      <xdr:rowOff>95400</xdr:rowOff>
    </xdr:from>
    <xdr:to>
      <xdr:col>13</xdr:col>
      <xdr:colOff>146160</xdr:colOff>
      <xdr:row>7</xdr:row>
      <xdr:rowOff>148320</xdr:rowOff>
    </xdr:to>
    <xdr:pic>
      <xdr:nvPicPr>
        <xdr:cNvPr id="125" name="Рисунок 7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PicPr/>
      </xdr:nvPicPr>
      <xdr:blipFill>
        <a:blip xmlns:r="http://schemas.openxmlformats.org/officeDocument/2006/relationships" r:embed="rId1"/>
        <a:srcRect l="24744" t="33716" r="62479" b="13612"/>
        <a:stretch/>
      </xdr:blipFill>
      <xdr:spPr>
        <a:xfrm>
          <a:off x="13180320" y="771840"/>
          <a:ext cx="629280" cy="1386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225360</xdr:colOff>
      <xdr:row>2</xdr:row>
      <xdr:rowOff>168480</xdr:rowOff>
    </xdr:from>
    <xdr:to>
      <xdr:col>11</xdr:col>
      <xdr:colOff>72720</xdr:colOff>
      <xdr:row>7</xdr:row>
      <xdr:rowOff>172800</xdr:rowOff>
    </xdr:to>
    <xdr:pic>
      <xdr:nvPicPr>
        <xdr:cNvPr id="126" name="Рисунок 10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PicPr/>
      </xdr:nvPicPr>
      <xdr:blipFill>
        <a:blip xmlns:r="http://schemas.openxmlformats.org/officeDocument/2006/relationships" r:embed="rId1"/>
        <a:srcRect l="38728" t="34210" r="47692" b="13094"/>
        <a:stretch/>
      </xdr:blipFill>
      <xdr:spPr>
        <a:xfrm>
          <a:off x="11571480" y="844920"/>
          <a:ext cx="637920" cy="13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469080</xdr:colOff>
      <xdr:row>2</xdr:row>
      <xdr:rowOff>14760</xdr:rowOff>
    </xdr:from>
    <xdr:to>
      <xdr:col>8</xdr:col>
      <xdr:colOff>1037160</xdr:colOff>
      <xdr:row>8</xdr:row>
      <xdr:rowOff>106200</xdr:rowOff>
    </xdr:to>
    <xdr:pic>
      <xdr:nvPicPr>
        <xdr:cNvPr id="127" name="Рисунок 1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PicPr/>
      </xdr:nvPicPr>
      <xdr:blipFill>
        <a:blip xmlns:r="http://schemas.openxmlformats.org/officeDocument/2006/relationships" r:embed="rId2"/>
        <a:srcRect b="5629"/>
        <a:stretch/>
      </xdr:blipFill>
      <xdr:spPr>
        <a:xfrm>
          <a:off x="10672200" y="691200"/>
          <a:ext cx="568080" cy="1615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183240</xdr:colOff>
      <xdr:row>19</xdr:row>
      <xdr:rowOff>278280</xdr:rowOff>
    </xdr:from>
    <xdr:to>
      <xdr:col>11</xdr:col>
      <xdr:colOff>447120</xdr:colOff>
      <xdr:row>32</xdr:row>
      <xdr:rowOff>44280</xdr:rowOff>
    </xdr:to>
    <xdr:pic>
      <xdr:nvPicPr>
        <xdr:cNvPr id="128" name="Рисунок 2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486000" y="6155280"/>
          <a:ext cx="3097800" cy="30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402840</xdr:colOff>
      <xdr:row>1</xdr:row>
      <xdr:rowOff>58680</xdr:rowOff>
    </xdr:from>
    <xdr:to>
      <xdr:col>13</xdr:col>
      <xdr:colOff>132840</xdr:colOff>
      <xdr:row>1</xdr:row>
      <xdr:rowOff>483480</xdr:rowOff>
    </xdr:to>
    <xdr:pic>
      <xdr:nvPicPr>
        <xdr:cNvPr id="129" name="Рисунок 6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rcRect l="6524" t="20416" r="6347" b="21705"/>
        <a:stretch/>
      </xdr:blipFill>
      <xdr:spPr>
        <a:xfrm>
          <a:off x="11748960" y="201600"/>
          <a:ext cx="204732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424800</xdr:colOff>
      <xdr:row>6</xdr:row>
      <xdr:rowOff>113760</xdr:rowOff>
    </xdr:from>
    <xdr:to>
      <xdr:col>2</xdr:col>
      <xdr:colOff>359280</xdr:colOff>
      <xdr:row>8</xdr:row>
      <xdr:rowOff>35640</xdr:rowOff>
    </xdr:to>
    <xdr:sp macro="" textlink="">
      <xdr:nvSpPr>
        <xdr:cNvPr id="130" name="TextBox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SpPr/>
      </xdr:nvSpPr>
      <xdr:spPr>
        <a:xfrm>
          <a:off x="581040" y="1980720"/>
          <a:ext cx="991800" cy="255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564120</xdr:colOff>
      <xdr:row>6</xdr:row>
      <xdr:rowOff>115560</xdr:rowOff>
    </xdr:from>
    <xdr:to>
      <xdr:col>2</xdr:col>
      <xdr:colOff>1414800</xdr:colOff>
      <xdr:row>8</xdr:row>
      <xdr:rowOff>38520</xdr:rowOff>
    </xdr:to>
    <xdr:sp macro="" textlink="">
      <xdr:nvSpPr>
        <xdr:cNvPr id="131" name="TextBox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SpPr/>
      </xdr:nvSpPr>
      <xdr:spPr>
        <a:xfrm>
          <a:off x="1777680" y="1982520"/>
          <a:ext cx="850680" cy="256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1641600</xdr:colOff>
      <xdr:row>6</xdr:row>
      <xdr:rowOff>120600</xdr:rowOff>
    </xdr:from>
    <xdr:to>
      <xdr:col>2</xdr:col>
      <xdr:colOff>2553120</xdr:colOff>
      <xdr:row>8</xdr:row>
      <xdr:rowOff>37800</xdr:rowOff>
    </xdr:to>
    <xdr:sp macro="" textlink="">
      <xdr:nvSpPr>
        <xdr:cNvPr id="132" name="TextBox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SpPr/>
      </xdr:nvSpPr>
      <xdr:spPr>
        <a:xfrm>
          <a:off x="2855160" y="1987560"/>
          <a:ext cx="911520" cy="250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430560</xdr:colOff>
      <xdr:row>6</xdr:row>
      <xdr:rowOff>73440</xdr:rowOff>
    </xdr:from>
    <xdr:to>
      <xdr:col>2</xdr:col>
      <xdr:colOff>359640</xdr:colOff>
      <xdr:row>8</xdr:row>
      <xdr:rowOff>53280</xdr:rowOff>
    </xdr:to>
    <xdr:sp macro="" textlink="">
      <xdr:nvSpPr>
        <xdr:cNvPr id="133" name="Прямоугольник: скругленные углы 15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SpPr/>
      </xdr:nvSpPr>
      <xdr:spPr>
        <a:xfrm>
          <a:off x="586800" y="1940400"/>
          <a:ext cx="98640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511920</xdr:colOff>
      <xdr:row>6</xdr:row>
      <xdr:rowOff>82800</xdr:rowOff>
    </xdr:from>
    <xdr:to>
      <xdr:col>2</xdr:col>
      <xdr:colOff>1447200</xdr:colOff>
      <xdr:row>8</xdr:row>
      <xdr:rowOff>59040</xdr:rowOff>
    </xdr:to>
    <xdr:sp macro="" textlink="">
      <xdr:nvSpPr>
        <xdr:cNvPr id="134" name="Прямоугольник: скругленные углы 16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SpPr/>
      </xdr:nvSpPr>
      <xdr:spPr>
        <a:xfrm>
          <a:off x="1725480" y="1949760"/>
          <a:ext cx="935280" cy="3096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1613880</xdr:colOff>
      <xdr:row>6</xdr:row>
      <xdr:rowOff>82080</xdr:rowOff>
    </xdr:from>
    <xdr:to>
      <xdr:col>2</xdr:col>
      <xdr:colOff>2549160</xdr:colOff>
      <xdr:row>8</xdr:row>
      <xdr:rowOff>57240</xdr:rowOff>
    </xdr:to>
    <xdr:sp macro="" textlink="">
      <xdr:nvSpPr>
        <xdr:cNvPr id="135" name="Прямоугольник: скругленные углы 17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SpPr/>
      </xdr:nvSpPr>
      <xdr:spPr>
        <a:xfrm>
          <a:off x="2827440" y="1949040"/>
          <a:ext cx="935280" cy="3085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764640</xdr:colOff>
      <xdr:row>2</xdr:row>
      <xdr:rowOff>322560</xdr:rowOff>
    </xdr:from>
    <xdr:to>
      <xdr:col>11</xdr:col>
      <xdr:colOff>424800</xdr:colOff>
      <xdr:row>7</xdr:row>
      <xdr:rowOff>73080</xdr:rowOff>
    </xdr:to>
    <xdr:pic>
      <xdr:nvPicPr>
        <xdr:cNvPr id="136" name="Изображение 5">
          <a:extLst>
            <a:ext uri="{FF2B5EF4-FFF2-40B4-BE49-F238E27FC236}">
              <a16:creationId xmlns:a16="http://schemas.microsoft.com/office/drawing/2014/main" id="{00000000-0008-0000-0A00-000088000000}"/>
            </a:ext>
          </a:extLst>
        </xdr:cNvPr>
        <xdr:cNvPicPr/>
      </xdr:nvPicPr>
      <xdr:blipFill>
        <a:blip xmlns:r="http://schemas.openxmlformats.org/officeDocument/2006/relationships" r:embed="rId1"/>
        <a:srcRect l="19833" t="13561" r="45465" b="6156"/>
        <a:stretch/>
      </xdr:blipFill>
      <xdr:spPr>
        <a:xfrm>
          <a:off x="8743320" y="989280"/>
          <a:ext cx="1069920" cy="1303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12</xdr:col>
      <xdr:colOff>639720</xdr:colOff>
      <xdr:row>2</xdr:row>
      <xdr:rowOff>278280</xdr:rowOff>
    </xdr:from>
    <xdr:to>
      <xdr:col>14</xdr:col>
      <xdr:colOff>461160</xdr:colOff>
      <xdr:row>7</xdr:row>
      <xdr:rowOff>23040</xdr:rowOff>
    </xdr:to>
    <xdr:pic>
      <xdr:nvPicPr>
        <xdr:cNvPr id="137" name="Изображение 6">
          <a:extLst>
            <a:ext uri="{FF2B5EF4-FFF2-40B4-BE49-F238E27FC236}">
              <a16:creationId xmlns:a16="http://schemas.microsoft.com/office/drawing/2014/main" id="{00000000-0008-0000-0A00-000089000000}"/>
            </a:ext>
          </a:extLst>
        </xdr:cNvPr>
        <xdr:cNvPicPr/>
      </xdr:nvPicPr>
      <xdr:blipFill>
        <a:blip xmlns:r="http://schemas.openxmlformats.org/officeDocument/2006/relationships" r:embed="rId2"/>
        <a:srcRect l="10687" t="13085" r="36876" b="5753"/>
        <a:stretch/>
      </xdr:blipFill>
      <xdr:spPr>
        <a:xfrm>
          <a:off x="10889280" y="945000"/>
          <a:ext cx="1543680" cy="1297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149760</xdr:colOff>
      <xdr:row>1</xdr:row>
      <xdr:rowOff>47520</xdr:rowOff>
    </xdr:from>
    <xdr:to>
      <xdr:col>14</xdr:col>
      <xdr:colOff>427320</xdr:colOff>
      <xdr:row>1</xdr:row>
      <xdr:rowOff>472320</xdr:rowOff>
    </xdr:to>
    <xdr:pic>
      <xdr:nvPicPr>
        <xdr:cNvPr id="138" name="Рисунок 3">
          <a:extLst>
            <a:ext uri="{FF2B5EF4-FFF2-40B4-BE49-F238E27FC236}">
              <a16:creationId xmlns:a16="http://schemas.microsoft.com/office/drawing/2014/main" id="{00000000-0008-0000-0A00-00008A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6524" t="20416" r="6347" b="21705"/>
        <a:stretch/>
      </xdr:blipFill>
      <xdr:spPr>
        <a:xfrm>
          <a:off x="10399320" y="190440"/>
          <a:ext cx="199980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73440</xdr:colOff>
      <xdr:row>27</xdr:row>
      <xdr:rowOff>138600</xdr:rowOff>
    </xdr:from>
    <xdr:to>
      <xdr:col>7</xdr:col>
      <xdr:colOff>806040</xdr:colOff>
      <xdr:row>32</xdr:row>
      <xdr:rowOff>452160</xdr:rowOff>
    </xdr:to>
    <xdr:pic>
      <xdr:nvPicPr>
        <xdr:cNvPr id="139" name="Рисунок 1">
          <a:extLst>
            <a:ext uri="{FF2B5EF4-FFF2-40B4-BE49-F238E27FC236}">
              <a16:creationId xmlns:a16="http://schemas.microsoft.com/office/drawing/2014/main" id="{00000000-0008-0000-0A00-00008B000000}"/>
            </a:ext>
          </a:extLst>
        </xdr:cNvPr>
        <xdr:cNvPicPr/>
      </xdr:nvPicPr>
      <xdr:blipFill>
        <a:blip xmlns:r="http://schemas.openxmlformats.org/officeDocument/2006/relationships" r:embed="rId5"/>
        <a:srcRect l="-214" t="2202" r="214" b="-154"/>
        <a:stretch/>
      </xdr:blipFill>
      <xdr:spPr>
        <a:xfrm>
          <a:off x="5812560" y="8600760"/>
          <a:ext cx="2055960" cy="258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292320</xdr:colOff>
      <xdr:row>2</xdr:row>
      <xdr:rowOff>160560</xdr:rowOff>
    </xdr:from>
    <xdr:to>
      <xdr:col>12</xdr:col>
      <xdr:colOff>792000</xdr:colOff>
      <xdr:row>7</xdr:row>
      <xdr:rowOff>148320</xdr:rowOff>
    </xdr:to>
    <xdr:pic>
      <xdr:nvPicPr>
        <xdr:cNvPr id="140" name="Рисунок 4">
          <a:extLst>
            <a:ext uri="{FF2B5EF4-FFF2-40B4-BE49-F238E27FC236}">
              <a16:creationId xmlns:a16="http://schemas.microsoft.com/office/drawing/2014/main" id="{00000000-0008-0000-0A00-00008C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rcRect b="12590"/>
        <a:stretch/>
      </xdr:blipFill>
      <xdr:spPr>
        <a:xfrm>
          <a:off x="9680760" y="827280"/>
          <a:ext cx="1360800" cy="1540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315000</xdr:colOff>
      <xdr:row>2</xdr:row>
      <xdr:rowOff>83520</xdr:rowOff>
    </xdr:from>
    <xdr:to>
      <xdr:col>8</xdr:col>
      <xdr:colOff>417960</xdr:colOff>
      <xdr:row>6</xdr:row>
      <xdr:rowOff>138960</xdr:rowOff>
    </xdr:to>
    <xdr:pic>
      <xdr:nvPicPr>
        <xdr:cNvPr id="141" name="Рисунок 5">
          <a:extLst>
            <a:ext uri="{FF2B5EF4-FFF2-40B4-BE49-F238E27FC236}">
              <a16:creationId xmlns:a16="http://schemas.microsoft.com/office/drawing/2014/main" id="{00000000-0008-0000-0A00-00008D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rcRect l="17023" t="3696" r="16103" b="20161"/>
        <a:stretch/>
      </xdr:blipFill>
      <xdr:spPr>
        <a:xfrm>
          <a:off x="7377480" y="750240"/>
          <a:ext cx="1019160" cy="1465200"/>
        </a:xfrm>
        <a:prstGeom prst="rect">
          <a:avLst/>
        </a:prstGeom>
        <a:noFill/>
        <a:ln w="0">
          <a:noFill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7</xdr:col>
      <xdr:colOff>139320</xdr:colOff>
      <xdr:row>7</xdr:row>
      <xdr:rowOff>90720</xdr:rowOff>
    </xdr:from>
    <xdr:to>
      <xdr:col>8</xdr:col>
      <xdr:colOff>527040</xdr:colOff>
      <xdr:row>9</xdr:row>
      <xdr:rowOff>82440</xdr:rowOff>
    </xdr:to>
    <xdr:sp macro="" textlink="">
      <xdr:nvSpPr>
        <xdr:cNvPr id="142" name="TextBox 7">
          <a:extLst>
            <a:ext uri="{FF2B5EF4-FFF2-40B4-BE49-F238E27FC236}">
              <a16:creationId xmlns:a16="http://schemas.microsoft.com/office/drawing/2014/main" id="{00000000-0008-0000-0A00-00008E000000}"/>
            </a:ext>
          </a:extLst>
        </xdr:cNvPr>
        <xdr:cNvSpPr/>
      </xdr:nvSpPr>
      <xdr:spPr>
        <a:xfrm>
          <a:off x="7201800" y="2310120"/>
          <a:ext cx="1303920" cy="372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spAutoFit/>
        </a:bodyPr>
        <a:lstStyle/>
        <a:p>
          <a:pPr algn="ctr">
            <a:lnSpc>
              <a:spcPct val="100000"/>
            </a:lnSpc>
          </a:pPr>
          <a:r>
            <a:rPr lang="ru-RU" sz="900" b="0" u="none" strike="noStrike">
              <a:solidFill>
                <a:srgbClr val="0000FF"/>
              </a:solidFill>
              <a:effectLst/>
              <a:uFillTx/>
              <a:latin typeface="Verdana"/>
              <a:ea typeface="Verdana"/>
            </a:rPr>
            <a:t>Новое поколение</a:t>
          </a:r>
          <a:r>
            <a:rPr lang="en-US" sz="900" b="0" u="none" strike="noStrike">
              <a:solidFill>
                <a:srgbClr val="0000FF"/>
              </a:solidFill>
              <a:effectLst/>
              <a:uFillTx/>
              <a:latin typeface="Verdana"/>
              <a:ea typeface="Verdana"/>
            </a:rPr>
            <a:t> </a:t>
          </a:r>
          <a:r>
            <a:rPr lang="ru-RU" sz="900" b="0" u="none" strike="noStrike">
              <a:solidFill>
                <a:srgbClr val="0000FF"/>
              </a:solidFill>
              <a:effectLst/>
              <a:uFillTx/>
              <a:latin typeface="Verdana"/>
              <a:ea typeface="Verdana"/>
            </a:rPr>
            <a:t>клапанов </a:t>
          </a:r>
          <a:r>
            <a:rPr lang="en-US" sz="900" b="1" u="none" strike="noStrike">
              <a:solidFill>
                <a:srgbClr val="0000FF"/>
              </a:solidFill>
              <a:effectLst/>
              <a:uFillTx/>
              <a:latin typeface="Verdana"/>
              <a:ea typeface="Verdana"/>
            </a:rPr>
            <a:t>ICF-R</a:t>
          </a:r>
          <a:endParaRPr lang="ru-RU" sz="9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454320</xdr:colOff>
      <xdr:row>7</xdr:row>
      <xdr:rowOff>11160</xdr:rowOff>
    </xdr:from>
    <xdr:to>
      <xdr:col>2</xdr:col>
      <xdr:colOff>344880</xdr:colOff>
      <xdr:row>8</xdr:row>
      <xdr:rowOff>79560</xdr:rowOff>
    </xdr:to>
    <xdr:sp macro="" textlink="">
      <xdr:nvSpPr>
        <xdr:cNvPr id="143" name="TextBox 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A00-00008F000000}"/>
            </a:ext>
          </a:extLst>
        </xdr:cNvPr>
        <xdr:cNvSpPr/>
      </xdr:nvSpPr>
      <xdr:spPr>
        <a:xfrm>
          <a:off x="610560" y="2230560"/>
          <a:ext cx="100224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549360</xdr:colOff>
      <xdr:row>7</xdr:row>
      <xdr:rowOff>12960</xdr:rowOff>
    </xdr:from>
    <xdr:to>
      <xdr:col>3</xdr:col>
      <xdr:colOff>440280</xdr:colOff>
      <xdr:row>8</xdr:row>
      <xdr:rowOff>82440</xdr:rowOff>
    </xdr:to>
    <xdr:sp macro="" textlink="">
      <xdr:nvSpPr>
        <xdr:cNvPr id="144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A00-000090000000}"/>
            </a:ext>
          </a:extLst>
        </xdr:cNvPr>
        <xdr:cNvSpPr/>
      </xdr:nvSpPr>
      <xdr:spPr>
        <a:xfrm>
          <a:off x="1817280" y="2232360"/>
          <a:ext cx="90900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667080</xdr:colOff>
      <xdr:row>7</xdr:row>
      <xdr:rowOff>18000</xdr:rowOff>
    </xdr:from>
    <xdr:to>
      <xdr:col>4</xdr:col>
      <xdr:colOff>691920</xdr:colOff>
      <xdr:row>8</xdr:row>
      <xdr:rowOff>81720</xdr:rowOff>
    </xdr:to>
    <xdr:sp macro="" textlink="">
      <xdr:nvSpPr>
        <xdr:cNvPr id="145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A00-000091000000}"/>
            </a:ext>
          </a:extLst>
        </xdr:cNvPr>
        <xdr:cNvSpPr/>
      </xdr:nvSpPr>
      <xdr:spPr>
        <a:xfrm>
          <a:off x="2953080" y="2237400"/>
          <a:ext cx="95652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459720</xdr:colOff>
      <xdr:row>6</xdr:row>
      <xdr:rowOff>117360</xdr:rowOff>
    </xdr:from>
    <xdr:to>
      <xdr:col>2</xdr:col>
      <xdr:colOff>344880</xdr:colOff>
      <xdr:row>8</xdr:row>
      <xdr:rowOff>97200</xdr:rowOff>
    </xdr:to>
    <xdr:sp macro="" textlink="">
      <xdr:nvSpPr>
        <xdr:cNvPr id="146" name="Прямоугольник: скругленные углы 19">
          <a:extLst>
            <a:ext uri="{FF2B5EF4-FFF2-40B4-BE49-F238E27FC236}">
              <a16:creationId xmlns:a16="http://schemas.microsoft.com/office/drawing/2014/main" id="{00000000-0008-0000-0A00-000092000000}"/>
            </a:ext>
          </a:extLst>
        </xdr:cNvPr>
        <xdr:cNvSpPr/>
      </xdr:nvSpPr>
      <xdr:spPr>
        <a:xfrm>
          <a:off x="615960" y="2193840"/>
          <a:ext cx="99684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497520</xdr:colOff>
      <xdr:row>6</xdr:row>
      <xdr:rowOff>126720</xdr:rowOff>
    </xdr:from>
    <xdr:to>
      <xdr:col>3</xdr:col>
      <xdr:colOff>473040</xdr:colOff>
      <xdr:row>8</xdr:row>
      <xdr:rowOff>102960</xdr:rowOff>
    </xdr:to>
    <xdr:sp macro="" textlink="">
      <xdr:nvSpPr>
        <xdr:cNvPr id="147" name="Прямоугольник: скругленные углы 20">
          <a:extLst>
            <a:ext uri="{FF2B5EF4-FFF2-40B4-BE49-F238E27FC236}">
              <a16:creationId xmlns:a16="http://schemas.microsoft.com/office/drawing/2014/main" id="{00000000-0008-0000-0A00-000093000000}"/>
            </a:ext>
          </a:extLst>
        </xdr:cNvPr>
        <xdr:cNvSpPr/>
      </xdr:nvSpPr>
      <xdr:spPr>
        <a:xfrm>
          <a:off x="1765440" y="2203200"/>
          <a:ext cx="993600" cy="3096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639360</xdr:colOff>
      <xdr:row>6</xdr:row>
      <xdr:rowOff>126000</xdr:rowOff>
    </xdr:from>
    <xdr:to>
      <xdr:col>4</xdr:col>
      <xdr:colOff>687960</xdr:colOff>
      <xdr:row>8</xdr:row>
      <xdr:rowOff>101160</xdr:rowOff>
    </xdr:to>
    <xdr:sp macro="" textlink="">
      <xdr:nvSpPr>
        <xdr:cNvPr id="148" name="Прямоугольник: скругленные углы 21">
          <a:extLst>
            <a:ext uri="{FF2B5EF4-FFF2-40B4-BE49-F238E27FC236}">
              <a16:creationId xmlns:a16="http://schemas.microsoft.com/office/drawing/2014/main" id="{00000000-0008-0000-0A00-000094000000}"/>
            </a:ext>
          </a:extLst>
        </xdr:cNvPr>
        <xdr:cNvSpPr/>
      </xdr:nvSpPr>
      <xdr:spPr>
        <a:xfrm>
          <a:off x="2925360" y="2202480"/>
          <a:ext cx="980280" cy="3085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161640</xdr:colOff>
      <xdr:row>2</xdr:row>
      <xdr:rowOff>29160</xdr:rowOff>
    </xdr:from>
    <xdr:to>
      <xdr:col>12</xdr:col>
      <xdr:colOff>14400</xdr:colOff>
      <xdr:row>9</xdr:row>
      <xdr:rowOff>41760</xdr:rowOff>
    </xdr:to>
    <xdr:pic>
      <xdr:nvPicPr>
        <xdr:cNvPr id="149" name="Рисунок 3">
          <a:extLst>
            <a:ext uri="{FF2B5EF4-FFF2-40B4-BE49-F238E27FC236}">
              <a16:creationId xmlns:a16="http://schemas.microsoft.com/office/drawing/2014/main" id="{00000000-0008-0000-0B00-000095000000}"/>
            </a:ext>
          </a:extLst>
        </xdr:cNvPr>
        <xdr:cNvPicPr/>
      </xdr:nvPicPr>
      <xdr:blipFill>
        <a:blip xmlns:r="http://schemas.openxmlformats.org/officeDocument/2006/relationships" r:embed="rId1"/>
        <a:srcRect l="9455" t="13010" r="16633" b="10745"/>
        <a:stretch/>
      </xdr:blipFill>
      <xdr:spPr>
        <a:xfrm>
          <a:off x="9972360" y="705600"/>
          <a:ext cx="1528560" cy="1679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554760</xdr:colOff>
      <xdr:row>30</xdr:row>
      <xdr:rowOff>16560</xdr:rowOff>
    </xdr:from>
    <xdr:to>
      <xdr:col>5</xdr:col>
      <xdr:colOff>975960</xdr:colOff>
      <xdr:row>32</xdr:row>
      <xdr:rowOff>1617840</xdr:rowOff>
    </xdr:to>
    <xdr:pic>
      <xdr:nvPicPr>
        <xdr:cNvPr id="150" name="Рисунок 9">
          <a:extLst>
            <a:ext uri="{FF2B5EF4-FFF2-40B4-BE49-F238E27FC236}">
              <a16:creationId xmlns:a16="http://schemas.microsoft.com/office/drawing/2014/main" id="{00000000-0008-0000-0B00-00009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17360" y="7493760"/>
          <a:ext cx="2887560" cy="2725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207000</xdr:colOff>
      <xdr:row>30</xdr:row>
      <xdr:rowOff>49680</xdr:rowOff>
    </xdr:from>
    <xdr:to>
      <xdr:col>9</xdr:col>
      <xdr:colOff>834480</xdr:colOff>
      <xdr:row>32</xdr:row>
      <xdr:rowOff>1612440</xdr:rowOff>
    </xdr:to>
    <xdr:pic>
      <xdr:nvPicPr>
        <xdr:cNvPr id="151" name="Рисунок 10">
          <a:extLst>
            <a:ext uri="{FF2B5EF4-FFF2-40B4-BE49-F238E27FC236}">
              <a16:creationId xmlns:a16="http://schemas.microsoft.com/office/drawing/2014/main" id="{00000000-0008-0000-0B00-00009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97800" y="7526880"/>
          <a:ext cx="2718000" cy="268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1063080</xdr:colOff>
      <xdr:row>1</xdr:row>
      <xdr:rowOff>58680</xdr:rowOff>
    </xdr:from>
    <xdr:to>
      <xdr:col>12</xdr:col>
      <xdr:colOff>228960</xdr:colOff>
      <xdr:row>1</xdr:row>
      <xdr:rowOff>483480</xdr:rowOff>
    </xdr:to>
    <xdr:pic>
      <xdr:nvPicPr>
        <xdr:cNvPr id="152" name="Рисунок 14">
          <a:extLst>
            <a:ext uri="{FF2B5EF4-FFF2-40B4-BE49-F238E27FC236}">
              <a16:creationId xmlns:a16="http://schemas.microsoft.com/office/drawing/2014/main" id="{00000000-0008-0000-0B00-000098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rcRect l="6524" t="20416" r="6347" b="21705"/>
        <a:stretch/>
      </xdr:blipFill>
      <xdr:spPr>
        <a:xfrm>
          <a:off x="9644400" y="201600"/>
          <a:ext cx="207108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124560</xdr:colOff>
      <xdr:row>2</xdr:row>
      <xdr:rowOff>225720</xdr:rowOff>
    </xdr:from>
    <xdr:to>
      <xdr:col>20</xdr:col>
      <xdr:colOff>204840</xdr:colOff>
      <xdr:row>7</xdr:row>
      <xdr:rowOff>154440</xdr:rowOff>
    </xdr:to>
    <xdr:pic>
      <xdr:nvPicPr>
        <xdr:cNvPr id="153" name="Рисунок 17">
          <a:extLst>
            <a:ext uri="{FF2B5EF4-FFF2-40B4-BE49-F238E27FC236}">
              <a16:creationId xmlns:a16="http://schemas.microsoft.com/office/drawing/2014/main" id="{00000000-0008-0000-0B00-000099000000}"/>
            </a:ext>
          </a:extLst>
        </xdr:cNvPr>
        <xdr:cNvPicPr/>
      </xdr:nvPicPr>
      <xdr:blipFill>
        <a:blip xmlns:r="http://schemas.openxmlformats.org/officeDocument/2006/relationships" r:embed="rId6"/>
        <a:srcRect t="19152"/>
        <a:stretch/>
      </xdr:blipFill>
      <xdr:spPr>
        <a:xfrm>
          <a:off x="15188760" y="902160"/>
          <a:ext cx="1599120" cy="1214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615600</xdr:colOff>
      <xdr:row>2</xdr:row>
      <xdr:rowOff>7200</xdr:rowOff>
    </xdr:from>
    <xdr:to>
      <xdr:col>17</xdr:col>
      <xdr:colOff>666360</xdr:colOff>
      <xdr:row>7</xdr:row>
      <xdr:rowOff>102240</xdr:rowOff>
    </xdr:to>
    <xdr:pic>
      <xdr:nvPicPr>
        <xdr:cNvPr id="154" name="Рисунок 1">
          <a:extLst>
            <a:ext uri="{FF2B5EF4-FFF2-40B4-BE49-F238E27FC236}">
              <a16:creationId xmlns:a16="http://schemas.microsoft.com/office/drawing/2014/main" id="{00000000-0008-0000-0B00-00009A000000}"/>
            </a:ext>
          </a:extLst>
        </xdr:cNvPr>
        <xdr:cNvPicPr/>
      </xdr:nvPicPr>
      <xdr:blipFill>
        <a:blip xmlns:r="http://schemas.openxmlformats.org/officeDocument/2006/relationships" r:embed="rId7"/>
        <a:srcRect l="3275" r="5488" b="4084"/>
        <a:stretch/>
      </xdr:blipFill>
      <xdr:spPr>
        <a:xfrm>
          <a:off x="13362480" y="683640"/>
          <a:ext cx="1491120" cy="138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380880</xdr:colOff>
      <xdr:row>29</xdr:row>
      <xdr:rowOff>295200</xdr:rowOff>
    </xdr:from>
    <xdr:to>
      <xdr:col>2</xdr:col>
      <xdr:colOff>833040</xdr:colOff>
      <xdr:row>30</xdr:row>
      <xdr:rowOff>713880</xdr:rowOff>
    </xdr:to>
    <xdr:pic>
      <xdr:nvPicPr>
        <xdr:cNvPr id="155" name="Рисунок 13">
          <a:extLst>
            <a:ext uri="{FF2B5EF4-FFF2-40B4-BE49-F238E27FC236}">
              <a16:creationId xmlns:a16="http://schemas.microsoft.com/office/drawing/2014/main" id="{00000000-0008-0000-0B00-00009B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537120" y="7305480"/>
          <a:ext cx="1540440" cy="885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275400</xdr:colOff>
      <xdr:row>31</xdr:row>
      <xdr:rowOff>257040</xdr:rowOff>
    </xdr:from>
    <xdr:to>
      <xdr:col>2</xdr:col>
      <xdr:colOff>921960</xdr:colOff>
      <xdr:row>32</xdr:row>
      <xdr:rowOff>1494720</xdr:rowOff>
    </xdr:to>
    <xdr:pic>
      <xdr:nvPicPr>
        <xdr:cNvPr id="156" name="Рисунок 15">
          <a:extLst>
            <a:ext uri="{FF2B5EF4-FFF2-40B4-BE49-F238E27FC236}">
              <a16:creationId xmlns:a16="http://schemas.microsoft.com/office/drawing/2014/main" id="{00000000-0008-0000-0B00-00009C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431640" y="8534160"/>
          <a:ext cx="1734840" cy="156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157680</xdr:colOff>
      <xdr:row>30</xdr:row>
      <xdr:rowOff>216720</xdr:rowOff>
    </xdr:from>
    <xdr:to>
      <xdr:col>12</xdr:col>
      <xdr:colOff>201240</xdr:colOff>
      <xdr:row>32</xdr:row>
      <xdr:rowOff>1376640</xdr:rowOff>
    </xdr:to>
    <xdr:pic>
      <xdr:nvPicPr>
        <xdr:cNvPr id="157" name="Рисунок 16">
          <a:extLst>
            <a:ext uri="{FF2B5EF4-FFF2-40B4-BE49-F238E27FC236}">
              <a16:creationId xmlns:a16="http://schemas.microsoft.com/office/drawing/2014/main" id="{00000000-0008-0000-0B00-00009D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9968400" y="7693920"/>
          <a:ext cx="1719360" cy="22838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461520</xdr:colOff>
      <xdr:row>6</xdr:row>
      <xdr:rowOff>150480</xdr:rowOff>
    </xdr:from>
    <xdr:to>
      <xdr:col>2</xdr:col>
      <xdr:colOff>374040</xdr:colOff>
      <xdr:row>8</xdr:row>
      <xdr:rowOff>57600</xdr:rowOff>
    </xdr:to>
    <xdr:sp macro="" textlink="">
      <xdr:nvSpPr>
        <xdr:cNvPr id="158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B00-00009E000000}"/>
            </a:ext>
          </a:extLst>
        </xdr:cNvPr>
        <xdr:cNvSpPr/>
      </xdr:nvSpPr>
      <xdr:spPr>
        <a:xfrm>
          <a:off x="617760" y="1950840"/>
          <a:ext cx="1000800" cy="259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578880</xdr:colOff>
      <xdr:row>6</xdr:row>
      <xdr:rowOff>151920</xdr:rowOff>
    </xdr:from>
    <xdr:to>
      <xdr:col>3</xdr:col>
      <xdr:colOff>469800</xdr:colOff>
      <xdr:row>8</xdr:row>
      <xdr:rowOff>60480</xdr:rowOff>
    </xdr:to>
    <xdr:sp macro="" textlink="">
      <xdr:nvSpPr>
        <xdr:cNvPr id="159" name="TextBox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B00-00009F000000}"/>
            </a:ext>
          </a:extLst>
        </xdr:cNvPr>
        <xdr:cNvSpPr/>
      </xdr:nvSpPr>
      <xdr:spPr>
        <a:xfrm>
          <a:off x="1823400" y="1952280"/>
          <a:ext cx="909000" cy="2610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696240</xdr:colOff>
      <xdr:row>6</xdr:row>
      <xdr:rowOff>157320</xdr:rowOff>
    </xdr:from>
    <xdr:to>
      <xdr:col>3</xdr:col>
      <xdr:colOff>1607760</xdr:colOff>
      <xdr:row>8</xdr:row>
      <xdr:rowOff>59760</xdr:rowOff>
    </xdr:to>
    <xdr:sp macro="" textlink="">
      <xdr:nvSpPr>
        <xdr:cNvPr id="160" name="TextBox 2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B00-0000A0000000}"/>
            </a:ext>
          </a:extLst>
        </xdr:cNvPr>
        <xdr:cNvSpPr/>
      </xdr:nvSpPr>
      <xdr:spPr>
        <a:xfrm>
          <a:off x="2958840" y="1957680"/>
          <a:ext cx="911520" cy="254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467280</xdr:colOff>
      <xdr:row>6</xdr:row>
      <xdr:rowOff>109800</xdr:rowOff>
    </xdr:from>
    <xdr:to>
      <xdr:col>2</xdr:col>
      <xdr:colOff>374400</xdr:colOff>
      <xdr:row>8</xdr:row>
      <xdr:rowOff>75240</xdr:rowOff>
    </xdr:to>
    <xdr:sp macro="" textlink="">
      <xdr:nvSpPr>
        <xdr:cNvPr id="161" name="Прямоугольник: скругленные углы 21">
          <a:extLst>
            <a:ext uri="{FF2B5EF4-FFF2-40B4-BE49-F238E27FC236}">
              <a16:creationId xmlns:a16="http://schemas.microsoft.com/office/drawing/2014/main" id="{00000000-0008-0000-0B00-0000A1000000}"/>
            </a:ext>
          </a:extLst>
        </xdr:cNvPr>
        <xdr:cNvSpPr/>
      </xdr:nvSpPr>
      <xdr:spPr>
        <a:xfrm>
          <a:off x="623520" y="1910160"/>
          <a:ext cx="995400" cy="31788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526680</xdr:colOff>
      <xdr:row>6</xdr:row>
      <xdr:rowOff>119520</xdr:rowOff>
    </xdr:from>
    <xdr:to>
      <xdr:col>3</xdr:col>
      <xdr:colOff>502200</xdr:colOff>
      <xdr:row>8</xdr:row>
      <xdr:rowOff>81000</xdr:rowOff>
    </xdr:to>
    <xdr:sp macro="" textlink="">
      <xdr:nvSpPr>
        <xdr:cNvPr id="162" name="Прямоугольник: скругленные углы 22">
          <a:extLst>
            <a:ext uri="{FF2B5EF4-FFF2-40B4-BE49-F238E27FC236}">
              <a16:creationId xmlns:a16="http://schemas.microsoft.com/office/drawing/2014/main" id="{00000000-0008-0000-0B00-0000A2000000}"/>
            </a:ext>
          </a:extLst>
        </xdr:cNvPr>
        <xdr:cNvSpPr/>
      </xdr:nvSpPr>
      <xdr:spPr>
        <a:xfrm>
          <a:off x="1771200" y="1919880"/>
          <a:ext cx="993600" cy="3139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668880</xdr:colOff>
      <xdr:row>6</xdr:row>
      <xdr:rowOff>118440</xdr:rowOff>
    </xdr:from>
    <xdr:to>
      <xdr:col>3</xdr:col>
      <xdr:colOff>1604160</xdr:colOff>
      <xdr:row>8</xdr:row>
      <xdr:rowOff>79200</xdr:rowOff>
    </xdr:to>
    <xdr:sp macro="" textlink="">
      <xdr:nvSpPr>
        <xdr:cNvPr id="163" name="Прямоугольник: скругленные углы 23">
          <a:extLst>
            <a:ext uri="{FF2B5EF4-FFF2-40B4-BE49-F238E27FC236}">
              <a16:creationId xmlns:a16="http://schemas.microsoft.com/office/drawing/2014/main" id="{00000000-0008-0000-0B00-0000A3000000}"/>
            </a:ext>
          </a:extLst>
        </xdr:cNvPr>
        <xdr:cNvSpPr/>
      </xdr:nvSpPr>
      <xdr:spPr>
        <a:xfrm>
          <a:off x="2931480" y="1918800"/>
          <a:ext cx="93528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870120</xdr:colOff>
      <xdr:row>2</xdr:row>
      <xdr:rowOff>68040</xdr:rowOff>
    </xdr:from>
    <xdr:to>
      <xdr:col>11</xdr:col>
      <xdr:colOff>729000</xdr:colOff>
      <xdr:row>9</xdr:row>
      <xdr:rowOff>45720</xdr:rowOff>
    </xdr:to>
    <xdr:pic>
      <xdr:nvPicPr>
        <xdr:cNvPr id="164" name="Изображение 1">
          <a:extLst>
            <a:ext uri="{FF2B5EF4-FFF2-40B4-BE49-F238E27FC236}">
              <a16:creationId xmlns:a16="http://schemas.microsoft.com/office/drawing/2014/main" id="{00000000-0008-0000-0C00-0000A4000000}"/>
            </a:ext>
          </a:extLst>
        </xdr:cNvPr>
        <xdr:cNvPicPr/>
      </xdr:nvPicPr>
      <xdr:blipFill>
        <a:blip xmlns:r="http://schemas.openxmlformats.org/officeDocument/2006/relationships" r:embed="rId1"/>
        <a:srcRect l="13758" t="13190" r="40431" b="5963"/>
        <a:stretch/>
      </xdr:blipFill>
      <xdr:spPr>
        <a:xfrm>
          <a:off x="9200520" y="753840"/>
          <a:ext cx="1792800" cy="168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668520</xdr:colOff>
      <xdr:row>1</xdr:row>
      <xdr:rowOff>59400</xdr:rowOff>
    </xdr:from>
    <xdr:to>
      <xdr:col>12</xdr:col>
      <xdr:colOff>12960</xdr:colOff>
      <xdr:row>1</xdr:row>
      <xdr:rowOff>484200</xdr:rowOff>
    </xdr:to>
    <xdr:pic>
      <xdr:nvPicPr>
        <xdr:cNvPr id="165" name="Рисунок 2">
          <a:extLst>
            <a:ext uri="{FF2B5EF4-FFF2-40B4-BE49-F238E27FC236}">
              <a16:creationId xmlns:a16="http://schemas.microsoft.com/office/drawing/2014/main" id="{00000000-0008-0000-0C00-0000A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6524" t="20416" r="6347" b="21705"/>
        <a:stretch/>
      </xdr:blipFill>
      <xdr:spPr>
        <a:xfrm>
          <a:off x="8998920" y="202320"/>
          <a:ext cx="206892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16</xdr:col>
      <xdr:colOff>31320</xdr:colOff>
      <xdr:row>2</xdr:row>
      <xdr:rowOff>210600</xdr:rowOff>
    </xdr:from>
    <xdr:to>
      <xdr:col>17</xdr:col>
      <xdr:colOff>642960</xdr:colOff>
      <xdr:row>7</xdr:row>
      <xdr:rowOff>158760</xdr:rowOff>
    </xdr:to>
    <xdr:pic>
      <xdr:nvPicPr>
        <xdr:cNvPr id="166" name="Рисунок 3">
          <a:extLst>
            <a:ext uri="{FF2B5EF4-FFF2-40B4-BE49-F238E27FC236}">
              <a16:creationId xmlns:a16="http://schemas.microsoft.com/office/drawing/2014/main" id="{00000000-0008-0000-0C00-0000A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3176000" y="896400"/>
          <a:ext cx="1402200" cy="1272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44280</xdr:colOff>
      <xdr:row>2</xdr:row>
      <xdr:rowOff>209520</xdr:rowOff>
    </xdr:from>
    <xdr:to>
      <xdr:col>19</xdr:col>
      <xdr:colOff>632880</xdr:colOff>
      <xdr:row>7</xdr:row>
      <xdr:rowOff>140400</xdr:rowOff>
    </xdr:to>
    <xdr:pic>
      <xdr:nvPicPr>
        <xdr:cNvPr id="167" name="Рисунок 4">
          <a:extLst>
            <a:ext uri="{FF2B5EF4-FFF2-40B4-BE49-F238E27FC236}">
              <a16:creationId xmlns:a16="http://schemas.microsoft.com/office/drawing/2014/main" id="{00000000-0008-0000-0C00-0000A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715360" y="895320"/>
          <a:ext cx="1364040" cy="1254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52560</xdr:colOff>
      <xdr:row>29</xdr:row>
      <xdr:rowOff>617400</xdr:rowOff>
    </xdr:from>
    <xdr:to>
      <xdr:col>2</xdr:col>
      <xdr:colOff>892440</xdr:colOff>
      <xdr:row>29</xdr:row>
      <xdr:rowOff>1733760</xdr:rowOff>
    </xdr:to>
    <xdr:pic>
      <xdr:nvPicPr>
        <xdr:cNvPr id="168" name="Рисунок 11">
          <a:extLst>
            <a:ext uri="{FF2B5EF4-FFF2-40B4-BE49-F238E27FC236}">
              <a16:creationId xmlns:a16="http://schemas.microsoft.com/office/drawing/2014/main" id="{00000000-0008-0000-0C00-0000A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208800" y="9104040"/>
          <a:ext cx="1928160" cy="1116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91800</xdr:colOff>
      <xdr:row>29</xdr:row>
      <xdr:rowOff>269280</xdr:rowOff>
    </xdr:from>
    <xdr:to>
      <xdr:col>12</xdr:col>
      <xdr:colOff>55440</xdr:colOff>
      <xdr:row>29</xdr:row>
      <xdr:rowOff>2486880</xdr:rowOff>
    </xdr:to>
    <xdr:pic>
      <xdr:nvPicPr>
        <xdr:cNvPr id="169" name="Рисунок 13">
          <a:extLst>
            <a:ext uri="{FF2B5EF4-FFF2-40B4-BE49-F238E27FC236}">
              <a16:creationId xmlns:a16="http://schemas.microsoft.com/office/drawing/2014/main" id="{00000000-0008-0000-0C00-0000A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9424440" y="8755920"/>
          <a:ext cx="1685880" cy="2217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390240</xdr:colOff>
      <xdr:row>29</xdr:row>
      <xdr:rowOff>562680</xdr:rowOff>
    </xdr:from>
    <xdr:to>
      <xdr:col>4</xdr:col>
      <xdr:colOff>287280</xdr:colOff>
      <xdr:row>29</xdr:row>
      <xdr:rowOff>2200320</xdr:rowOff>
    </xdr:to>
    <xdr:pic>
      <xdr:nvPicPr>
        <xdr:cNvPr id="170" name="Рисунок 14">
          <a:extLst>
            <a:ext uri="{FF2B5EF4-FFF2-40B4-BE49-F238E27FC236}">
              <a16:creationId xmlns:a16="http://schemas.microsoft.com/office/drawing/2014/main" id="{00000000-0008-0000-0C00-0000A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2652840" y="9049320"/>
          <a:ext cx="1854720" cy="1637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837000</xdr:colOff>
      <xdr:row>29</xdr:row>
      <xdr:rowOff>59040</xdr:rowOff>
    </xdr:from>
    <xdr:to>
      <xdr:col>9</xdr:col>
      <xdr:colOff>248400</xdr:colOff>
      <xdr:row>29</xdr:row>
      <xdr:rowOff>2666520</xdr:rowOff>
    </xdr:to>
    <xdr:pic>
      <xdr:nvPicPr>
        <xdr:cNvPr id="171" name="Рисунок 10">
          <a:extLst>
            <a:ext uri="{FF2B5EF4-FFF2-40B4-BE49-F238E27FC236}">
              <a16:creationId xmlns:a16="http://schemas.microsoft.com/office/drawing/2014/main" id="{00000000-0008-0000-0C00-0000A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5706720" y="8545680"/>
          <a:ext cx="2872080" cy="260748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433440</xdr:colOff>
      <xdr:row>7</xdr:row>
      <xdr:rowOff>66960</xdr:rowOff>
    </xdr:from>
    <xdr:to>
      <xdr:col>2</xdr:col>
      <xdr:colOff>340560</xdr:colOff>
      <xdr:row>8</xdr:row>
      <xdr:rowOff>135360</xdr:rowOff>
    </xdr:to>
    <xdr:sp macro="" textlink="">
      <xdr:nvSpPr>
        <xdr:cNvPr id="172" name="TextBox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C00-0000AC000000}"/>
            </a:ext>
          </a:extLst>
        </xdr:cNvPr>
        <xdr:cNvSpPr/>
      </xdr:nvSpPr>
      <xdr:spPr>
        <a:xfrm>
          <a:off x="589680" y="2076840"/>
          <a:ext cx="99540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545400</xdr:colOff>
      <xdr:row>7</xdr:row>
      <xdr:rowOff>68400</xdr:rowOff>
    </xdr:from>
    <xdr:to>
      <xdr:col>3</xdr:col>
      <xdr:colOff>437040</xdr:colOff>
      <xdr:row>8</xdr:row>
      <xdr:rowOff>137880</xdr:rowOff>
    </xdr:to>
    <xdr:sp macro="" textlink="">
      <xdr:nvSpPr>
        <xdr:cNvPr id="173" name="TextBox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C00-0000AD000000}"/>
            </a:ext>
          </a:extLst>
        </xdr:cNvPr>
        <xdr:cNvSpPr/>
      </xdr:nvSpPr>
      <xdr:spPr>
        <a:xfrm>
          <a:off x="1789920" y="2078280"/>
          <a:ext cx="90972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663480</xdr:colOff>
      <xdr:row>7</xdr:row>
      <xdr:rowOff>73800</xdr:rowOff>
    </xdr:from>
    <xdr:to>
      <xdr:col>3</xdr:col>
      <xdr:colOff>1575000</xdr:colOff>
      <xdr:row>8</xdr:row>
      <xdr:rowOff>137520</xdr:rowOff>
    </xdr:to>
    <xdr:sp macro="" textlink="">
      <xdr:nvSpPr>
        <xdr:cNvPr id="174" name="TextBox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C00-0000AE000000}"/>
            </a:ext>
          </a:extLst>
        </xdr:cNvPr>
        <xdr:cNvSpPr/>
      </xdr:nvSpPr>
      <xdr:spPr>
        <a:xfrm>
          <a:off x="2926080" y="2083680"/>
          <a:ext cx="91152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439200</xdr:colOff>
      <xdr:row>7</xdr:row>
      <xdr:rowOff>26280</xdr:rowOff>
    </xdr:from>
    <xdr:to>
      <xdr:col>2</xdr:col>
      <xdr:colOff>340920</xdr:colOff>
      <xdr:row>8</xdr:row>
      <xdr:rowOff>152640</xdr:rowOff>
    </xdr:to>
    <xdr:sp macro="" textlink="">
      <xdr:nvSpPr>
        <xdr:cNvPr id="175" name="Прямоугольник: скругленные углы 19">
          <a:extLst>
            <a:ext uri="{FF2B5EF4-FFF2-40B4-BE49-F238E27FC236}">
              <a16:creationId xmlns:a16="http://schemas.microsoft.com/office/drawing/2014/main" id="{00000000-0008-0000-0C00-0000AF000000}"/>
            </a:ext>
          </a:extLst>
        </xdr:cNvPr>
        <xdr:cNvSpPr/>
      </xdr:nvSpPr>
      <xdr:spPr>
        <a:xfrm>
          <a:off x="595440" y="2036160"/>
          <a:ext cx="990000" cy="3168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493200</xdr:colOff>
      <xdr:row>7</xdr:row>
      <xdr:rowOff>35640</xdr:rowOff>
    </xdr:from>
    <xdr:to>
      <xdr:col>3</xdr:col>
      <xdr:colOff>469440</xdr:colOff>
      <xdr:row>8</xdr:row>
      <xdr:rowOff>158400</xdr:rowOff>
    </xdr:to>
    <xdr:sp macro="" textlink="">
      <xdr:nvSpPr>
        <xdr:cNvPr id="176" name="Прямоугольник: скругленные углы 20">
          <a:extLst>
            <a:ext uri="{FF2B5EF4-FFF2-40B4-BE49-F238E27FC236}">
              <a16:creationId xmlns:a16="http://schemas.microsoft.com/office/drawing/2014/main" id="{00000000-0008-0000-0C00-0000B0000000}"/>
            </a:ext>
          </a:extLst>
        </xdr:cNvPr>
        <xdr:cNvSpPr/>
      </xdr:nvSpPr>
      <xdr:spPr>
        <a:xfrm>
          <a:off x="1737720" y="2045520"/>
          <a:ext cx="99432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635760</xdr:colOff>
      <xdr:row>7</xdr:row>
      <xdr:rowOff>34920</xdr:rowOff>
    </xdr:from>
    <xdr:to>
      <xdr:col>3</xdr:col>
      <xdr:colOff>1571040</xdr:colOff>
      <xdr:row>8</xdr:row>
      <xdr:rowOff>156600</xdr:rowOff>
    </xdr:to>
    <xdr:sp macro="" textlink="">
      <xdr:nvSpPr>
        <xdr:cNvPr id="177" name="Прямоугольник: скругленные углы 21">
          <a:extLst>
            <a:ext uri="{FF2B5EF4-FFF2-40B4-BE49-F238E27FC236}">
              <a16:creationId xmlns:a16="http://schemas.microsoft.com/office/drawing/2014/main" id="{00000000-0008-0000-0C00-0000B1000000}"/>
            </a:ext>
          </a:extLst>
        </xdr:cNvPr>
        <xdr:cNvSpPr/>
      </xdr:nvSpPr>
      <xdr:spPr>
        <a:xfrm>
          <a:off x="2898360" y="2044800"/>
          <a:ext cx="935280" cy="3121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1004040</xdr:colOff>
      <xdr:row>1</xdr:row>
      <xdr:rowOff>516960</xdr:rowOff>
    </xdr:from>
    <xdr:to>
      <xdr:col>10</xdr:col>
      <xdr:colOff>196560</xdr:colOff>
      <xdr:row>8</xdr:row>
      <xdr:rowOff>187920</xdr:rowOff>
    </xdr:to>
    <xdr:pic>
      <xdr:nvPicPr>
        <xdr:cNvPr id="178" name="Рисунок 3">
          <a:extLst>
            <a:ext uri="{FF2B5EF4-FFF2-40B4-BE49-F238E27FC236}">
              <a16:creationId xmlns:a16="http://schemas.microsoft.com/office/drawing/2014/main" id="{00000000-0008-0000-0D00-0000B2000000}"/>
            </a:ext>
          </a:extLst>
        </xdr:cNvPr>
        <xdr:cNvPicPr/>
      </xdr:nvPicPr>
      <xdr:blipFill>
        <a:blip xmlns:r="http://schemas.openxmlformats.org/officeDocument/2006/relationships" r:embed="rId1"/>
        <a:srcRect l="18368" t="11773" r="9038" b="8011"/>
        <a:stretch/>
      </xdr:blipFill>
      <xdr:spPr>
        <a:xfrm>
          <a:off x="9640800" y="659880"/>
          <a:ext cx="1517760" cy="1604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1102680</xdr:colOff>
      <xdr:row>1</xdr:row>
      <xdr:rowOff>58680</xdr:rowOff>
    </xdr:from>
    <xdr:to>
      <xdr:col>11</xdr:col>
      <xdr:colOff>58680</xdr:colOff>
      <xdr:row>1</xdr:row>
      <xdr:rowOff>483480</xdr:rowOff>
    </xdr:to>
    <xdr:pic>
      <xdr:nvPicPr>
        <xdr:cNvPr id="179" name="Рисунок 5">
          <a:extLst>
            <a:ext uri="{FF2B5EF4-FFF2-40B4-BE49-F238E27FC236}">
              <a16:creationId xmlns:a16="http://schemas.microsoft.com/office/drawing/2014/main" id="{00000000-0008-0000-0D00-0000B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6524" t="20416" r="6347" b="21705"/>
        <a:stretch/>
      </xdr:blipFill>
      <xdr:spPr>
        <a:xfrm>
          <a:off x="9739440" y="201600"/>
          <a:ext cx="207180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952200</xdr:colOff>
      <xdr:row>37</xdr:row>
      <xdr:rowOff>160200</xdr:rowOff>
    </xdr:from>
    <xdr:to>
      <xdr:col>3</xdr:col>
      <xdr:colOff>1238760</xdr:colOff>
      <xdr:row>38</xdr:row>
      <xdr:rowOff>82080</xdr:rowOff>
    </xdr:to>
    <xdr:pic>
      <xdr:nvPicPr>
        <xdr:cNvPr id="180" name="Рисунок 7">
          <a:extLst>
            <a:ext uri="{FF2B5EF4-FFF2-40B4-BE49-F238E27FC236}">
              <a16:creationId xmlns:a16="http://schemas.microsoft.com/office/drawing/2014/main" id="{00000000-0008-0000-0D00-0000B4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108440" y="10087200"/>
          <a:ext cx="2495160" cy="2388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669600</xdr:colOff>
      <xdr:row>37</xdr:row>
      <xdr:rowOff>167040</xdr:rowOff>
    </xdr:from>
    <xdr:to>
      <xdr:col>7</xdr:col>
      <xdr:colOff>484920</xdr:colOff>
      <xdr:row>38</xdr:row>
      <xdr:rowOff>111240</xdr:rowOff>
    </xdr:to>
    <xdr:pic>
      <xdr:nvPicPr>
        <xdr:cNvPr id="181" name="Рисунок 8">
          <a:extLst>
            <a:ext uri="{FF2B5EF4-FFF2-40B4-BE49-F238E27FC236}">
              <a16:creationId xmlns:a16="http://schemas.microsoft.com/office/drawing/2014/main" id="{00000000-0008-0000-0D00-0000B5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5446080" y="10094040"/>
          <a:ext cx="2422800" cy="2411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596880</xdr:colOff>
      <xdr:row>37</xdr:row>
      <xdr:rowOff>214560</xdr:rowOff>
    </xdr:from>
    <xdr:to>
      <xdr:col>10</xdr:col>
      <xdr:colOff>335160</xdr:colOff>
      <xdr:row>38</xdr:row>
      <xdr:rowOff>64080</xdr:rowOff>
    </xdr:to>
    <xdr:pic>
      <xdr:nvPicPr>
        <xdr:cNvPr id="182" name="Рисунок 9">
          <a:extLst>
            <a:ext uri="{FF2B5EF4-FFF2-40B4-BE49-F238E27FC236}">
              <a16:creationId xmlns:a16="http://schemas.microsoft.com/office/drawing/2014/main" id="{00000000-0008-0000-0D00-0000B6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9233640" y="10141560"/>
          <a:ext cx="2063520" cy="23166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492840</xdr:colOff>
      <xdr:row>7</xdr:row>
      <xdr:rowOff>14400</xdr:rowOff>
    </xdr:from>
    <xdr:to>
      <xdr:col>2</xdr:col>
      <xdr:colOff>393120</xdr:colOff>
      <xdr:row>8</xdr:row>
      <xdr:rowOff>82800</xdr:rowOff>
    </xdr:to>
    <xdr:sp macro="" textlink="">
      <xdr:nvSpPr>
        <xdr:cNvPr id="183" name="TextBox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D00-0000B7000000}"/>
            </a:ext>
          </a:extLst>
        </xdr:cNvPr>
        <xdr:cNvSpPr/>
      </xdr:nvSpPr>
      <xdr:spPr>
        <a:xfrm>
          <a:off x="649080" y="1900440"/>
          <a:ext cx="99684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597960</xdr:colOff>
      <xdr:row>7</xdr:row>
      <xdr:rowOff>15840</xdr:rowOff>
    </xdr:from>
    <xdr:to>
      <xdr:col>3</xdr:col>
      <xdr:colOff>397440</xdr:colOff>
      <xdr:row>8</xdr:row>
      <xdr:rowOff>85320</xdr:rowOff>
    </xdr:to>
    <xdr:sp macro="" textlink="">
      <xdr:nvSpPr>
        <xdr:cNvPr id="184" name="TextBox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D00-0000B8000000}"/>
            </a:ext>
          </a:extLst>
        </xdr:cNvPr>
        <xdr:cNvSpPr/>
      </xdr:nvSpPr>
      <xdr:spPr>
        <a:xfrm>
          <a:off x="1850760" y="1901880"/>
          <a:ext cx="91152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624240</xdr:colOff>
      <xdr:row>7</xdr:row>
      <xdr:rowOff>21240</xdr:rowOff>
    </xdr:from>
    <xdr:to>
      <xdr:col>3</xdr:col>
      <xdr:colOff>1535760</xdr:colOff>
      <xdr:row>8</xdr:row>
      <xdr:rowOff>84960</xdr:rowOff>
    </xdr:to>
    <xdr:sp macro="" textlink="">
      <xdr:nvSpPr>
        <xdr:cNvPr id="185" name="TextBox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D00-0000B9000000}"/>
            </a:ext>
          </a:extLst>
        </xdr:cNvPr>
        <xdr:cNvSpPr/>
      </xdr:nvSpPr>
      <xdr:spPr>
        <a:xfrm>
          <a:off x="2989080" y="1907280"/>
          <a:ext cx="91152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498240</xdr:colOff>
      <xdr:row>6</xdr:row>
      <xdr:rowOff>118080</xdr:rowOff>
    </xdr:from>
    <xdr:to>
      <xdr:col>2</xdr:col>
      <xdr:colOff>393120</xdr:colOff>
      <xdr:row>8</xdr:row>
      <xdr:rowOff>100080</xdr:rowOff>
    </xdr:to>
    <xdr:sp macro="" textlink="">
      <xdr:nvSpPr>
        <xdr:cNvPr id="186" name="Прямоугольник: скругленные углы 14">
          <a:extLst>
            <a:ext uri="{FF2B5EF4-FFF2-40B4-BE49-F238E27FC236}">
              <a16:creationId xmlns:a16="http://schemas.microsoft.com/office/drawing/2014/main" id="{00000000-0008-0000-0D00-0000BA000000}"/>
            </a:ext>
          </a:extLst>
        </xdr:cNvPr>
        <xdr:cNvSpPr/>
      </xdr:nvSpPr>
      <xdr:spPr>
        <a:xfrm>
          <a:off x="654480" y="1861200"/>
          <a:ext cx="991440" cy="31536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545760</xdr:colOff>
      <xdr:row>6</xdr:row>
      <xdr:rowOff>127800</xdr:rowOff>
    </xdr:from>
    <xdr:to>
      <xdr:col>3</xdr:col>
      <xdr:colOff>429840</xdr:colOff>
      <xdr:row>8</xdr:row>
      <xdr:rowOff>106200</xdr:rowOff>
    </xdr:to>
    <xdr:sp macro="" textlink="">
      <xdr:nvSpPr>
        <xdr:cNvPr id="187" name="Прямоугольник: скругленные углы 15">
          <a:extLst>
            <a:ext uri="{FF2B5EF4-FFF2-40B4-BE49-F238E27FC236}">
              <a16:creationId xmlns:a16="http://schemas.microsoft.com/office/drawing/2014/main" id="{00000000-0008-0000-0D00-0000BB000000}"/>
            </a:ext>
          </a:extLst>
        </xdr:cNvPr>
        <xdr:cNvSpPr/>
      </xdr:nvSpPr>
      <xdr:spPr>
        <a:xfrm>
          <a:off x="1798560" y="1870920"/>
          <a:ext cx="996120" cy="31176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596520</xdr:colOff>
      <xdr:row>6</xdr:row>
      <xdr:rowOff>126720</xdr:rowOff>
    </xdr:from>
    <xdr:to>
      <xdr:col>3</xdr:col>
      <xdr:colOff>1531800</xdr:colOff>
      <xdr:row>8</xdr:row>
      <xdr:rowOff>104040</xdr:rowOff>
    </xdr:to>
    <xdr:sp macro="" textlink="">
      <xdr:nvSpPr>
        <xdr:cNvPr id="188" name="Прямоугольник: скругленные углы 16">
          <a:extLst>
            <a:ext uri="{FF2B5EF4-FFF2-40B4-BE49-F238E27FC236}">
              <a16:creationId xmlns:a16="http://schemas.microsoft.com/office/drawing/2014/main" id="{00000000-0008-0000-0D00-0000BC000000}"/>
            </a:ext>
          </a:extLst>
        </xdr:cNvPr>
        <xdr:cNvSpPr/>
      </xdr:nvSpPr>
      <xdr:spPr>
        <a:xfrm>
          <a:off x="2961360" y="1869840"/>
          <a:ext cx="935280" cy="31068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820080</xdr:colOff>
      <xdr:row>2</xdr:row>
      <xdr:rowOff>40680</xdr:rowOff>
    </xdr:from>
    <xdr:to>
      <xdr:col>9</xdr:col>
      <xdr:colOff>693720</xdr:colOff>
      <xdr:row>8</xdr:row>
      <xdr:rowOff>183240</xdr:rowOff>
    </xdr:to>
    <xdr:pic>
      <xdr:nvPicPr>
        <xdr:cNvPr id="189" name="Изображение 2">
          <a:extLst>
            <a:ext uri="{FF2B5EF4-FFF2-40B4-BE49-F238E27FC236}">
              <a16:creationId xmlns:a16="http://schemas.microsoft.com/office/drawing/2014/main" id="{00000000-0008-0000-0E00-0000BD000000}"/>
            </a:ext>
          </a:extLst>
        </xdr:cNvPr>
        <xdr:cNvPicPr/>
      </xdr:nvPicPr>
      <xdr:blipFill>
        <a:blip xmlns:r="http://schemas.openxmlformats.org/officeDocument/2006/relationships" r:embed="rId1"/>
        <a:srcRect l="16785" t="13001" r="43085" b="6285"/>
        <a:stretch/>
      </xdr:blipFill>
      <xdr:spPr>
        <a:xfrm>
          <a:off x="9018000" y="707400"/>
          <a:ext cx="1384920" cy="1542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1153440</xdr:colOff>
      <xdr:row>1</xdr:row>
      <xdr:rowOff>49320</xdr:rowOff>
    </xdr:from>
    <xdr:to>
      <xdr:col>11</xdr:col>
      <xdr:colOff>112320</xdr:colOff>
      <xdr:row>1</xdr:row>
      <xdr:rowOff>474120</xdr:rowOff>
    </xdr:to>
    <xdr:pic>
      <xdr:nvPicPr>
        <xdr:cNvPr id="190" name="Рисунок 2">
          <a:extLst>
            <a:ext uri="{FF2B5EF4-FFF2-40B4-BE49-F238E27FC236}">
              <a16:creationId xmlns:a16="http://schemas.microsoft.com/office/drawing/2014/main" id="{00000000-0008-0000-0E00-0000B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6524" t="20416" r="6347" b="21705"/>
        <a:stretch/>
      </xdr:blipFill>
      <xdr:spPr>
        <a:xfrm>
          <a:off x="9351360" y="192240"/>
          <a:ext cx="209052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476280</xdr:colOff>
      <xdr:row>7</xdr:row>
      <xdr:rowOff>33840</xdr:rowOff>
    </xdr:from>
    <xdr:to>
      <xdr:col>2</xdr:col>
      <xdr:colOff>373680</xdr:colOff>
      <xdr:row>8</xdr:row>
      <xdr:rowOff>102240</xdr:rowOff>
    </xdr:to>
    <xdr:sp macro="" textlink="">
      <xdr:nvSpPr>
        <xdr:cNvPr id="191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E00-0000BF000000}"/>
            </a:ext>
          </a:extLst>
        </xdr:cNvPr>
        <xdr:cNvSpPr/>
      </xdr:nvSpPr>
      <xdr:spPr>
        <a:xfrm>
          <a:off x="632520" y="1910160"/>
          <a:ext cx="99396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578160</xdr:colOff>
      <xdr:row>7</xdr:row>
      <xdr:rowOff>35280</xdr:rowOff>
    </xdr:from>
    <xdr:to>
      <xdr:col>3</xdr:col>
      <xdr:colOff>469440</xdr:colOff>
      <xdr:row>8</xdr:row>
      <xdr:rowOff>104760</xdr:rowOff>
    </xdr:to>
    <xdr:sp macro="" textlink="">
      <xdr:nvSpPr>
        <xdr:cNvPr id="192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C0000000}"/>
            </a:ext>
          </a:extLst>
        </xdr:cNvPr>
        <xdr:cNvSpPr/>
      </xdr:nvSpPr>
      <xdr:spPr>
        <a:xfrm>
          <a:off x="1830960" y="1911600"/>
          <a:ext cx="90936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696240</xdr:colOff>
      <xdr:row>7</xdr:row>
      <xdr:rowOff>40680</xdr:rowOff>
    </xdr:from>
    <xdr:to>
      <xdr:col>3</xdr:col>
      <xdr:colOff>1607760</xdr:colOff>
      <xdr:row>8</xdr:row>
      <xdr:rowOff>104400</xdr:rowOff>
    </xdr:to>
    <xdr:sp macro="" textlink="">
      <xdr:nvSpPr>
        <xdr:cNvPr id="193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E00-0000C1000000}"/>
            </a:ext>
          </a:extLst>
        </xdr:cNvPr>
        <xdr:cNvSpPr/>
      </xdr:nvSpPr>
      <xdr:spPr>
        <a:xfrm>
          <a:off x="2967120" y="1917000"/>
          <a:ext cx="91152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481680</xdr:colOff>
      <xdr:row>6</xdr:row>
      <xdr:rowOff>136080</xdr:rowOff>
    </xdr:from>
    <xdr:to>
      <xdr:col>2</xdr:col>
      <xdr:colOff>373680</xdr:colOff>
      <xdr:row>8</xdr:row>
      <xdr:rowOff>119520</xdr:rowOff>
    </xdr:to>
    <xdr:sp macro="" textlink="">
      <xdr:nvSpPr>
        <xdr:cNvPr id="194" name="Прямоугольник: скругленные углы 8">
          <a:extLst>
            <a:ext uri="{FF2B5EF4-FFF2-40B4-BE49-F238E27FC236}">
              <a16:creationId xmlns:a16="http://schemas.microsoft.com/office/drawing/2014/main" id="{00000000-0008-0000-0E00-0000C2000000}"/>
            </a:ext>
          </a:extLst>
        </xdr:cNvPr>
        <xdr:cNvSpPr/>
      </xdr:nvSpPr>
      <xdr:spPr>
        <a:xfrm>
          <a:off x="637920" y="1869480"/>
          <a:ext cx="988560" cy="3168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525960</xdr:colOff>
      <xdr:row>7</xdr:row>
      <xdr:rowOff>2520</xdr:rowOff>
    </xdr:from>
    <xdr:to>
      <xdr:col>3</xdr:col>
      <xdr:colOff>501840</xdr:colOff>
      <xdr:row>8</xdr:row>
      <xdr:rowOff>125280</xdr:rowOff>
    </xdr:to>
    <xdr:sp macro="" textlink="">
      <xdr:nvSpPr>
        <xdr:cNvPr id="195" name="Прямоугольник: скругленные углы 9">
          <a:extLst>
            <a:ext uri="{FF2B5EF4-FFF2-40B4-BE49-F238E27FC236}">
              <a16:creationId xmlns:a16="http://schemas.microsoft.com/office/drawing/2014/main" id="{00000000-0008-0000-0E00-0000C3000000}"/>
            </a:ext>
          </a:extLst>
        </xdr:cNvPr>
        <xdr:cNvSpPr/>
      </xdr:nvSpPr>
      <xdr:spPr>
        <a:xfrm>
          <a:off x="1778760" y="1878840"/>
          <a:ext cx="99396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668880</xdr:colOff>
      <xdr:row>7</xdr:row>
      <xdr:rowOff>1800</xdr:rowOff>
    </xdr:from>
    <xdr:to>
      <xdr:col>3</xdr:col>
      <xdr:colOff>1604160</xdr:colOff>
      <xdr:row>8</xdr:row>
      <xdr:rowOff>123480</xdr:rowOff>
    </xdr:to>
    <xdr:sp macro="" textlink="">
      <xdr:nvSpPr>
        <xdr:cNvPr id="196" name="Прямоугольник: скругленные углы 10">
          <a:extLst>
            <a:ext uri="{FF2B5EF4-FFF2-40B4-BE49-F238E27FC236}">
              <a16:creationId xmlns:a16="http://schemas.microsoft.com/office/drawing/2014/main" id="{00000000-0008-0000-0E00-0000C4000000}"/>
            </a:ext>
          </a:extLst>
        </xdr:cNvPr>
        <xdr:cNvSpPr/>
      </xdr:nvSpPr>
      <xdr:spPr>
        <a:xfrm>
          <a:off x="2939760" y="1878120"/>
          <a:ext cx="935280" cy="3121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338760</xdr:colOff>
      <xdr:row>6</xdr:row>
      <xdr:rowOff>27360</xdr:rowOff>
    </xdr:from>
    <xdr:to>
      <xdr:col>7</xdr:col>
      <xdr:colOff>545760</xdr:colOff>
      <xdr:row>9</xdr:row>
      <xdr:rowOff>32040</xdr:rowOff>
    </xdr:to>
    <xdr:pic>
      <xdr:nvPicPr>
        <xdr:cNvPr id="197" name="Изображение 7">
          <a:extLst>
            <a:ext uri="{FF2B5EF4-FFF2-40B4-BE49-F238E27FC236}">
              <a16:creationId xmlns:a16="http://schemas.microsoft.com/office/drawing/2014/main" id="{00000000-0008-0000-0F00-0000C5000000}"/>
            </a:ext>
          </a:extLst>
        </xdr:cNvPr>
        <xdr:cNvPicPr/>
      </xdr:nvPicPr>
      <xdr:blipFill>
        <a:blip xmlns:r="http://schemas.openxmlformats.org/officeDocument/2006/relationships" r:embed="rId1"/>
        <a:srcRect l="6339" t="29631" r="32423" b="21344"/>
        <a:stretch/>
      </xdr:blipFill>
      <xdr:spPr>
        <a:xfrm>
          <a:off x="7668000" y="1646640"/>
          <a:ext cx="1248480" cy="519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7</xdr:col>
      <xdr:colOff>878400</xdr:colOff>
      <xdr:row>2</xdr:row>
      <xdr:rowOff>331920</xdr:rowOff>
    </xdr:from>
    <xdr:to>
      <xdr:col>8</xdr:col>
      <xdr:colOff>131400</xdr:colOff>
      <xdr:row>8</xdr:row>
      <xdr:rowOff>138960</xdr:rowOff>
    </xdr:to>
    <xdr:pic>
      <xdr:nvPicPr>
        <xdr:cNvPr id="198" name="Изображение 8">
          <a:extLst>
            <a:ext uri="{FF2B5EF4-FFF2-40B4-BE49-F238E27FC236}">
              <a16:creationId xmlns:a16="http://schemas.microsoft.com/office/drawing/2014/main" id="{00000000-0008-0000-0F00-0000C6000000}"/>
            </a:ext>
          </a:extLst>
        </xdr:cNvPr>
        <xdr:cNvPicPr/>
      </xdr:nvPicPr>
      <xdr:blipFill>
        <a:blip xmlns:r="http://schemas.openxmlformats.org/officeDocument/2006/relationships" r:embed="rId2"/>
        <a:srcRect l="28744" t="13743" r="54526" b="5753"/>
        <a:stretch/>
      </xdr:blipFill>
      <xdr:spPr>
        <a:xfrm>
          <a:off x="9249120" y="998640"/>
          <a:ext cx="521640" cy="108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9</xdr:col>
      <xdr:colOff>121680</xdr:colOff>
      <xdr:row>2</xdr:row>
      <xdr:rowOff>98640</xdr:rowOff>
    </xdr:from>
    <xdr:to>
      <xdr:col>9</xdr:col>
      <xdr:colOff>717840</xdr:colOff>
      <xdr:row>9</xdr:row>
      <xdr:rowOff>65520</xdr:rowOff>
    </xdr:to>
    <xdr:pic>
      <xdr:nvPicPr>
        <xdr:cNvPr id="199" name="Изображение 9">
          <a:extLst>
            <a:ext uri="{FF2B5EF4-FFF2-40B4-BE49-F238E27FC236}">
              <a16:creationId xmlns:a16="http://schemas.microsoft.com/office/drawing/2014/main" id="{00000000-0008-0000-0F00-0000C7000000}"/>
            </a:ext>
          </a:extLst>
        </xdr:cNvPr>
        <xdr:cNvPicPr/>
      </xdr:nvPicPr>
      <xdr:blipFill>
        <a:blip xmlns:r="http://schemas.openxmlformats.org/officeDocument/2006/relationships" r:embed="rId3"/>
        <a:srcRect l="28396" t="14261" r="54770" b="7237"/>
        <a:stretch/>
      </xdr:blipFill>
      <xdr:spPr>
        <a:xfrm>
          <a:off x="10622160" y="765360"/>
          <a:ext cx="596160" cy="1433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8</xdr:col>
      <xdr:colOff>341640</xdr:colOff>
      <xdr:row>2</xdr:row>
      <xdr:rowOff>114840</xdr:rowOff>
    </xdr:from>
    <xdr:to>
      <xdr:col>9</xdr:col>
      <xdr:colOff>14040</xdr:colOff>
      <xdr:row>9</xdr:row>
      <xdr:rowOff>36360</xdr:rowOff>
    </xdr:to>
    <xdr:pic>
      <xdr:nvPicPr>
        <xdr:cNvPr id="200" name="Изображение 10">
          <a:extLst>
            <a:ext uri="{FF2B5EF4-FFF2-40B4-BE49-F238E27FC236}">
              <a16:creationId xmlns:a16="http://schemas.microsoft.com/office/drawing/2014/main" id="{00000000-0008-0000-0F00-0000C8000000}"/>
            </a:ext>
          </a:extLst>
        </xdr:cNvPr>
        <xdr:cNvPicPr/>
      </xdr:nvPicPr>
      <xdr:blipFill>
        <a:blip xmlns:r="http://schemas.openxmlformats.org/officeDocument/2006/relationships" r:embed="rId4"/>
        <a:srcRect l="31321" t="27839" r="57632" b="19622"/>
        <a:stretch/>
      </xdr:blipFill>
      <xdr:spPr>
        <a:xfrm>
          <a:off x="9981000" y="781560"/>
          <a:ext cx="533520" cy="1388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576000</xdr:colOff>
      <xdr:row>1</xdr:row>
      <xdr:rowOff>28800</xdr:rowOff>
    </xdr:from>
    <xdr:to>
      <xdr:col>11</xdr:col>
      <xdr:colOff>140400</xdr:colOff>
      <xdr:row>1</xdr:row>
      <xdr:rowOff>453600</xdr:rowOff>
    </xdr:to>
    <xdr:pic>
      <xdr:nvPicPr>
        <xdr:cNvPr id="201" name="Рисунок 5">
          <a:extLst>
            <a:ext uri="{FF2B5EF4-FFF2-40B4-BE49-F238E27FC236}">
              <a16:creationId xmlns:a16="http://schemas.microsoft.com/office/drawing/2014/main" id="{00000000-0008-0000-0F00-0000C9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rcRect l="6524" t="20416" r="6347" b="21705"/>
        <a:stretch/>
      </xdr:blipFill>
      <xdr:spPr>
        <a:xfrm>
          <a:off x="10215360" y="171720"/>
          <a:ext cx="204588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90720</xdr:colOff>
      <xdr:row>1</xdr:row>
      <xdr:rowOff>513000</xdr:rowOff>
    </xdr:from>
    <xdr:to>
      <xdr:col>10</xdr:col>
      <xdr:colOff>703080</xdr:colOff>
      <xdr:row>9</xdr:row>
      <xdr:rowOff>88560</xdr:rowOff>
    </xdr:to>
    <xdr:pic>
      <xdr:nvPicPr>
        <xdr:cNvPr id="202" name="Рисунок 2">
          <a:extLst>
            <a:ext uri="{FF2B5EF4-FFF2-40B4-BE49-F238E27FC236}">
              <a16:creationId xmlns:a16="http://schemas.microsoft.com/office/drawing/2014/main" id="{00000000-0008-0000-0F00-0000CA000000}"/>
            </a:ext>
          </a:extLst>
        </xdr:cNvPr>
        <xdr:cNvPicPr/>
      </xdr:nvPicPr>
      <xdr:blipFill>
        <a:blip xmlns:r="http://schemas.openxmlformats.org/officeDocument/2006/relationships" r:embed="rId7">
          <a:grayscl/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rcRect l="27186" t="2084" r="26423" b="8560"/>
        <a:stretch/>
      </xdr:blipFill>
      <xdr:spPr>
        <a:xfrm>
          <a:off x="11421000" y="655920"/>
          <a:ext cx="612360" cy="1566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397440</xdr:colOff>
      <xdr:row>35</xdr:row>
      <xdr:rowOff>564480</xdr:rowOff>
    </xdr:from>
    <xdr:to>
      <xdr:col>4</xdr:col>
      <xdr:colOff>195120</xdr:colOff>
      <xdr:row>35</xdr:row>
      <xdr:rowOff>1582920</xdr:rowOff>
    </xdr:to>
    <xdr:pic>
      <xdr:nvPicPr>
        <xdr:cNvPr id="203" name="Рисунок 6">
          <a:extLst>
            <a:ext uri="{FF2B5EF4-FFF2-40B4-BE49-F238E27FC236}">
              <a16:creationId xmlns:a16="http://schemas.microsoft.com/office/drawing/2014/main" id="{00000000-0008-0000-0F00-0000CB000000}"/>
            </a:ext>
          </a:extLst>
        </xdr:cNvPr>
        <xdr:cNvPicPr/>
      </xdr:nvPicPr>
      <xdr:blipFill>
        <a:blip xmlns:r="http://schemas.openxmlformats.org/officeDocument/2006/relationships" r:embed="rId9"/>
        <a:srcRect t="28541" b="19994"/>
        <a:stretch/>
      </xdr:blipFill>
      <xdr:spPr>
        <a:xfrm>
          <a:off x="1720800" y="10624680"/>
          <a:ext cx="2843640" cy="1018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389160</xdr:colOff>
      <xdr:row>34</xdr:row>
      <xdr:rowOff>182880</xdr:rowOff>
    </xdr:from>
    <xdr:to>
      <xdr:col>10</xdr:col>
      <xdr:colOff>583560</xdr:colOff>
      <xdr:row>36</xdr:row>
      <xdr:rowOff>90000</xdr:rowOff>
    </xdr:to>
    <xdr:pic>
      <xdr:nvPicPr>
        <xdr:cNvPr id="204" name="Рисунок 8">
          <a:extLst>
            <a:ext uri="{FF2B5EF4-FFF2-40B4-BE49-F238E27FC236}">
              <a16:creationId xmlns:a16="http://schemas.microsoft.com/office/drawing/2014/main" id="{00000000-0008-0000-0F00-0000CC000000}"/>
            </a:ext>
          </a:extLst>
        </xdr:cNvPr>
        <xdr:cNvPicPr/>
      </xdr:nvPicPr>
      <xdr:blipFill>
        <a:blip xmlns:r="http://schemas.openxmlformats.org/officeDocument/2006/relationships" r:embed="rId10"/>
        <a:srcRect l="1113" t="4377" r="9978" b="4587"/>
        <a:stretch/>
      </xdr:blipFill>
      <xdr:spPr>
        <a:xfrm>
          <a:off x="10028520" y="9890640"/>
          <a:ext cx="1885320" cy="2107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1450800</xdr:colOff>
      <xdr:row>34</xdr:row>
      <xdr:rowOff>194400</xdr:rowOff>
    </xdr:from>
    <xdr:to>
      <xdr:col>6</xdr:col>
      <xdr:colOff>923040</xdr:colOff>
      <xdr:row>36</xdr:row>
      <xdr:rowOff>104760</xdr:rowOff>
    </xdr:to>
    <xdr:pic>
      <xdr:nvPicPr>
        <xdr:cNvPr id="205" name="Рисунок 10">
          <a:extLst>
            <a:ext uri="{FF2B5EF4-FFF2-40B4-BE49-F238E27FC236}">
              <a16:creationId xmlns:a16="http://schemas.microsoft.com/office/drawing/2014/main" id="{00000000-0008-0000-0F00-0000CD000000}"/>
            </a:ext>
          </a:extLst>
        </xdr:cNvPr>
        <xdr:cNvPicPr/>
      </xdr:nvPicPr>
      <xdr:blipFill>
        <a:blip xmlns:r="http://schemas.openxmlformats.org/officeDocument/2006/relationships" r:embed="rId11"/>
        <a:srcRect b="2245"/>
        <a:stretch/>
      </xdr:blipFill>
      <xdr:spPr>
        <a:xfrm>
          <a:off x="7143480" y="9902160"/>
          <a:ext cx="1108800" cy="211068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505440</xdr:colOff>
      <xdr:row>7</xdr:row>
      <xdr:rowOff>33120</xdr:rowOff>
    </xdr:from>
    <xdr:to>
      <xdr:col>2</xdr:col>
      <xdr:colOff>337320</xdr:colOff>
      <xdr:row>8</xdr:row>
      <xdr:rowOff>101520</xdr:rowOff>
    </xdr:to>
    <xdr:sp macro="" textlink="">
      <xdr:nvSpPr>
        <xdr:cNvPr id="206" name="TextBox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F00-0000CE000000}"/>
            </a:ext>
          </a:extLst>
        </xdr:cNvPr>
        <xdr:cNvSpPr/>
      </xdr:nvSpPr>
      <xdr:spPr>
        <a:xfrm>
          <a:off x="661680" y="1785600"/>
          <a:ext cx="999000" cy="259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542160</xdr:colOff>
      <xdr:row>7</xdr:row>
      <xdr:rowOff>34920</xdr:rowOff>
    </xdr:from>
    <xdr:to>
      <xdr:col>3</xdr:col>
      <xdr:colOff>213120</xdr:colOff>
      <xdr:row>8</xdr:row>
      <xdr:rowOff>104400</xdr:rowOff>
    </xdr:to>
    <xdr:sp macro="" textlink="">
      <xdr:nvSpPr>
        <xdr:cNvPr id="207" name="TextBox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F00-0000CF000000}"/>
            </a:ext>
          </a:extLst>
        </xdr:cNvPr>
        <xdr:cNvSpPr/>
      </xdr:nvSpPr>
      <xdr:spPr>
        <a:xfrm>
          <a:off x="1865520" y="1787400"/>
          <a:ext cx="923760" cy="26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439920</xdr:colOff>
      <xdr:row>7</xdr:row>
      <xdr:rowOff>39960</xdr:rowOff>
    </xdr:from>
    <xdr:to>
      <xdr:col>3</xdr:col>
      <xdr:colOff>1351440</xdr:colOff>
      <xdr:row>8</xdr:row>
      <xdr:rowOff>103680</xdr:rowOff>
    </xdr:to>
    <xdr:sp macro="" textlink="">
      <xdr:nvSpPr>
        <xdr:cNvPr id="208" name="TextBox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F00-0000D0000000}"/>
            </a:ext>
          </a:extLst>
        </xdr:cNvPr>
        <xdr:cNvSpPr/>
      </xdr:nvSpPr>
      <xdr:spPr>
        <a:xfrm>
          <a:off x="3016080" y="1792440"/>
          <a:ext cx="911520" cy="254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511200</xdr:colOff>
      <xdr:row>6</xdr:row>
      <xdr:rowOff>124560</xdr:rowOff>
    </xdr:from>
    <xdr:to>
      <xdr:col>2</xdr:col>
      <xdr:colOff>337680</xdr:colOff>
      <xdr:row>8</xdr:row>
      <xdr:rowOff>119160</xdr:rowOff>
    </xdr:to>
    <xdr:sp macro="" textlink="">
      <xdr:nvSpPr>
        <xdr:cNvPr id="209" name="Прямоугольник: скругленные углы 16">
          <a:extLst>
            <a:ext uri="{FF2B5EF4-FFF2-40B4-BE49-F238E27FC236}">
              <a16:creationId xmlns:a16="http://schemas.microsoft.com/office/drawing/2014/main" id="{00000000-0008-0000-0F00-0000D1000000}"/>
            </a:ext>
          </a:extLst>
        </xdr:cNvPr>
        <xdr:cNvSpPr/>
      </xdr:nvSpPr>
      <xdr:spPr>
        <a:xfrm>
          <a:off x="667440" y="1743840"/>
          <a:ext cx="993600" cy="3186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489960</xdr:colOff>
      <xdr:row>7</xdr:row>
      <xdr:rowOff>2160</xdr:rowOff>
    </xdr:from>
    <xdr:to>
      <xdr:col>3</xdr:col>
      <xdr:colOff>245520</xdr:colOff>
      <xdr:row>8</xdr:row>
      <xdr:rowOff>124920</xdr:rowOff>
    </xdr:to>
    <xdr:sp macro="" textlink="">
      <xdr:nvSpPr>
        <xdr:cNvPr id="210" name="Прямоугольник: скругленные углы 21">
          <a:extLst>
            <a:ext uri="{FF2B5EF4-FFF2-40B4-BE49-F238E27FC236}">
              <a16:creationId xmlns:a16="http://schemas.microsoft.com/office/drawing/2014/main" id="{00000000-0008-0000-0F00-0000D2000000}"/>
            </a:ext>
          </a:extLst>
        </xdr:cNvPr>
        <xdr:cNvSpPr/>
      </xdr:nvSpPr>
      <xdr:spPr>
        <a:xfrm>
          <a:off x="1813320" y="1754640"/>
          <a:ext cx="1008360" cy="31356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412200</xdr:colOff>
      <xdr:row>7</xdr:row>
      <xdr:rowOff>1440</xdr:rowOff>
    </xdr:from>
    <xdr:to>
      <xdr:col>3</xdr:col>
      <xdr:colOff>1347480</xdr:colOff>
      <xdr:row>8</xdr:row>
      <xdr:rowOff>123120</xdr:rowOff>
    </xdr:to>
    <xdr:sp macro="" textlink="">
      <xdr:nvSpPr>
        <xdr:cNvPr id="211" name="Прямоугольник: скругленные углы 22">
          <a:extLst>
            <a:ext uri="{FF2B5EF4-FFF2-40B4-BE49-F238E27FC236}">
              <a16:creationId xmlns:a16="http://schemas.microsoft.com/office/drawing/2014/main" id="{00000000-0008-0000-0F00-0000D3000000}"/>
            </a:ext>
          </a:extLst>
        </xdr:cNvPr>
        <xdr:cNvSpPr/>
      </xdr:nvSpPr>
      <xdr:spPr>
        <a:xfrm>
          <a:off x="2988360" y="1753920"/>
          <a:ext cx="935280" cy="31248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381240</xdr:colOff>
      <xdr:row>2</xdr:row>
      <xdr:rowOff>21600</xdr:rowOff>
    </xdr:from>
    <xdr:to>
      <xdr:col>8</xdr:col>
      <xdr:colOff>1048320</xdr:colOff>
      <xdr:row>8</xdr:row>
      <xdr:rowOff>134640</xdr:rowOff>
    </xdr:to>
    <xdr:pic>
      <xdr:nvPicPr>
        <xdr:cNvPr id="212" name="Рисунок 1">
          <a:extLst>
            <a:ext uri="{FF2B5EF4-FFF2-40B4-BE49-F238E27FC236}">
              <a16:creationId xmlns:a16="http://schemas.microsoft.com/office/drawing/2014/main" id="{00000000-0008-0000-1000-0000D4000000}"/>
            </a:ext>
          </a:extLst>
        </xdr:cNvPr>
        <xdr:cNvPicPr/>
      </xdr:nvPicPr>
      <xdr:blipFill>
        <a:blip xmlns:r="http://schemas.openxmlformats.org/officeDocument/2006/relationships" r:embed="rId1"/>
        <a:srcRect l="29055" t="33786" r="58061" b="12289"/>
        <a:stretch/>
      </xdr:blipFill>
      <xdr:spPr>
        <a:xfrm flipH="1">
          <a:off x="7521120" y="698040"/>
          <a:ext cx="667080" cy="1417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708840</xdr:colOff>
      <xdr:row>1</xdr:row>
      <xdr:rowOff>61560</xdr:rowOff>
    </xdr:from>
    <xdr:to>
      <xdr:col>12</xdr:col>
      <xdr:colOff>197640</xdr:colOff>
      <xdr:row>1</xdr:row>
      <xdr:rowOff>486360</xdr:rowOff>
    </xdr:to>
    <xdr:pic>
      <xdr:nvPicPr>
        <xdr:cNvPr id="213" name="Рисунок 2">
          <a:extLst>
            <a:ext uri="{FF2B5EF4-FFF2-40B4-BE49-F238E27FC236}">
              <a16:creationId xmlns:a16="http://schemas.microsoft.com/office/drawing/2014/main" id="{00000000-0008-0000-1000-0000D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6524" t="20416" r="6347" b="21705"/>
        <a:stretch/>
      </xdr:blipFill>
      <xdr:spPr>
        <a:xfrm>
          <a:off x="9078120" y="204480"/>
          <a:ext cx="205668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440280</xdr:colOff>
      <xdr:row>7</xdr:row>
      <xdr:rowOff>33840</xdr:rowOff>
    </xdr:from>
    <xdr:to>
      <xdr:col>2</xdr:col>
      <xdr:colOff>327600</xdr:colOff>
      <xdr:row>8</xdr:row>
      <xdr:rowOff>102240</xdr:rowOff>
    </xdr:to>
    <xdr:sp macro="" textlink="">
      <xdr:nvSpPr>
        <xdr:cNvPr id="214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D6000000}"/>
            </a:ext>
          </a:extLst>
        </xdr:cNvPr>
        <xdr:cNvSpPr/>
      </xdr:nvSpPr>
      <xdr:spPr>
        <a:xfrm>
          <a:off x="596520" y="1824480"/>
          <a:ext cx="99900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532080</xdr:colOff>
      <xdr:row>7</xdr:row>
      <xdr:rowOff>35640</xdr:rowOff>
    </xdr:from>
    <xdr:to>
      <xdr:col>4</xdr:col>
      <xdr:colOff>298800</xdr:colOff>
      <xdr:row>8</xdr:row>
      <xdr:rowOff>105120</xdr:rowOff>
    </xdr:to>
    <xdr:sp macro="" textlink="">
      <xdr:nvSpPr>
        <xdr:cNvPr id="215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D7000000}"/>
            </a:ext>
          </a:extLst>
        </xdr:cNvPr>
        <xdr:cNvSpPr/>
      </xdr:nvSpPr>
      <xdr:spPr>
        <a:xfrm>
          <a:off x="1800000" y="1826280"/>
          <a:ext cx="90972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4</xdr:col>
      <xdr:colOff>525600</xdr:colOff>
      <xdr:row>7</xdr:row>
      <xdr:rowOff>40680</xdr:rowOff>
    </xdr:from>
    <xdr:to>
      <xdr:col>4</xdr:col>
      <xdr:colOff>1437120</xdr:colOff>
      <xdr:row>8</xdr:row>
      <xdr:rowOff>104400</xdr:rowOff>
    </xdr:to>
    <xdr:sp macro="" textlink="">
      <xdr:nvSpPr>
        <xdr:cNvPr id="216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D8000000}"/>
            </a:ext>
          </a:extLst>
        </xdr:cNvPr>
        <xdr:cNvSpPr/>
      </xdr:nvSpPr>
      <xdr:spPr>
        <a:xfrm>
          <a:off x="2936520" y="1831320"/>
          <a:ext cx="91152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445680</xdr:colOff>
      <xdr:row>6</xdr:row>
      <xdr:rowOff>124920</xdr:rowOff>
    </xdr:from>
    <xdr:to>
      <xdr:col>2</xdr:col>
      <xdr:colOff>327600</xdr:colOff>
      <xdr:row>8</xdr:row>
      <xdr:rowOff>119880</xdr:rowOff>
    </xdr:to>
    <xdr:sp macro="" textlink="">
      <xdr:nvSpPr>
        <xdr:cNvPr id="217" name="Прямоугольник: скругленные углы 8">
          <a:extLst>
            <a:ext uri="{FF2B5EF4-FFF2-40B4-BE49-F238E27FC236}">
              <a16:creationId xmlns:a16="http://schemas.microsoft.com/office/drawing/2014/main" id="{00000000-0008-0000-1000-0000D9000000}"/>
            </a:ext>
          </a:extLst>
        </xdr:cNvPr>
        <xdr:cNvSpPr/>
      </xdr:nvSpPr>
      <xdr:spPr>
        <a:xfrm>
          <a:off x="601920" y="1782360"/>
          <a:ext cx="993600" cy="3186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479880</xdr:colOff>
      <xdr:row>7</xdr:row>
      <xdr:rowOff>2880</xdr:rowOff>
    </xdr:from>
    <xdr:to>
      <xdr:col>4</xdr:col>
      <xdr:colOff>331200</xdr:colOff>
      <xdr:row>8</xdr:row>
      <xdr:rowOff>125640</xdr:rowOff>
    </xdr:to>
    <xdr:sp macro="" textlink="">
      <xdr:nvSpPr>
        <xdr:cNvPr id="218" name="Прямоугольник: скругленные углы 9">
          <a:extLst>
            <a:ext uri="{FF2B5EF4-FFF2-40B4-BE49-F238E27FC236}">
              <a16:creationId xmlns:a16="http://schemas.microsoft.com/office/drawing/2014/main" id="{00000000-0008-0000-1000-0000DA000000}"/>
            </a:ext>
          </a:extLst>
        </xdr:cNvPr>
        <xdr:cNvSpPr/>
      </xdr:nvSpPr>
      <xdr:spPr>
        <a:xfrm>
          <a:off x="1747800" y="1793520"/>
          <a:ext cx="99432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497880</xdr:colOff>
      <xdr:row>7</xdr:row>
      <xdr:rowOff>2160</xdr:rowOff>
    </xdr:from>
    <xdr:to>
      <xdr:col>4</xdr:col>
      <xdr:colOff>1433160</xdr:colOff>
      <xdr:row>8</xdr:row>
      <xdr:rowOff>123840</xdr:rowOff>
    </xdr:to>
    <xdr:sp macro="" textlink="">
      <xdr:nvSpPr>
        <xdr:cNvPr id="219" name="Прямоугольник: скругленные углы 10">
          <a:extLst>
            <a:ext uri="{FF2B5EF4-FFF2-40B4-BE49-F238E27FC236}">
              <a16:creationId xmlns:a16="http://schemas.microsoft.com/office/drawing/2014/main" id="{00000000-0008-0000-1000-0000DB000000}"/>
            </a:ext>
          </a:extLst>
        </xdr:cNvPr>
        <xdr:cNvSpPr/>
      </xdr:nvSpPr>
      <xdr:spPr>
        <a:xfrm>
          <a:off x="2908800" y="1792800"/>
          <a:ext cx="935280" cy="3121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117000</xdr:colOff>
      <xdr:row>2</xdr:row>
      <xdr:rowOff>73440</xdr:rowOff>
    </xdr:from>
    <xdr:to>
      <xdr:col>10</xdr:col>
      <xdr:colOff>549360</xdr:colOff>
      <xdr:row>8</xdr:row>
      <xdr:rowOff>84960</xdr:rowOff>
    </xdr:to>
    <xdr:pic>
      <xdr:nvPicPr>
        <xdr:cNvPr id="220" name="Изображение 3">
          <a:extLst>
            <a:ext uri="{FF2B5EF4-FFF2-40B4-BE49-F238E27FC236}">
              <a16:creationId xmlns:a16="http://schemas.microsoft.com/office/drawing/2014/main" id="{00000000-0008-0000-1100-0000DC000000}"/>
            </a:ext>
          </a:extLst>
        </xdr:cNvPr>
        <xdr:cNvPicPr/>
      </xdr:nvPicPr>
      <xdr:blipFill>
        <a:blip xmlns:r="http://schemas.openxmlformats.org/officeDocument/2006/relationships" r:embed="rId1"/>
        <a:srcRect l="17750" t="12973" r="44073" b="5900"/>
        <a:stretch/>
      </xdr:blipFill>
      <xdr:spPr>
        <a:xfrm>
          <a:off x="9833760" y="740160"/>
          <a:ext cx="1222920" cy="1373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902520</xdr:colOff>
      <xdr:row>2</xdr:row>
      <xdr:rowOff>153720</xdr:rowOff>
    </xdr:from>
    <xdr:to>
      <xdr:col>8</xdr:col>
      <xdr:colOff>774000</xdr:colOff>
      <xdr:row>7</xdr:row>
      <xdr:rowOff>187200</xdr:rowOff>
    </xdr:to>
    <xdr:pic>
      <xdr:nvPicPr>
        <xdr:cNvPr id="221" name="Рисунок 2">
          <a:extLst>
            <a:ext uri="{FF2B5EF4-FFF2-40B4-BE49-F238E27FC236}">
              <a16:creationId xmlns:a16="http://schemas.microsoft.com/office/drawing/2014/main" id="{00000000-0008-0000-1100-0000D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28760" y="820440"/>
          <a:ext cx="1100880" cy="1204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563760</xdr:colOff>
      <xdr:row>1</xdr:row>
      <xdr:rowOff>36720</xdr:rowOff>
    </xdr:from>
    <xdr:to>
      <xdr:col>11</xdr:col>
      <xdr:colOff>136800</xdr:colOff>
      <xdr:row>1</xdr:row>
      <xdr:rowOff>461520</xdr:rowOff>
    </xdr:to>
    <xdr:pic>
      <xdr:nvPicPr>
        <xdr:cNvPr id="222" name="Рисунок 3">
          <a:extLst>
            <a:ext uri="{FF2B5EF4-FFF2-40B4-BE49-F238E27FC236}">
              <a16:creationId xmlns:a16="http://schemas.microsoft.com/office/drawing/2014/main" id="{00000000-0008-0000-1100-0000DE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6524" t="20416" r="6347" b="21705"/>
        <a:stretch/>
      </xdr:blipFill>
      <xdr:spPr>
        <a:xfrm>
          <a:off x="9419400" y="169920"/>
          <a:ext cx="207072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17</xdr:col>
      <xdr:colOff>131760</xdr:colOff>
      <xdr:row>2</xdr:row>
      <xdr:rowOff>123120</xdr:rowOff>
    </xdr:from>
    <xdr:to>
      <xdr:col>19</xdr:col>
      <xdr:colOff>412200</xdr:colOff>
      <xdr:row>7</xdr:row>
      <xdr:rowOff>166680</xdr:rowOff>
    </xdr:to>
    <xdr:pic>
      <xdr:nvPicPr>
        <xdr:cNvPr id="223" name="Рисунок 4">
          <a:extLst>
            <a:ext uri="{FF2B5EF4-FFF2-40B4-BE49-F238E27FC236}">
              <a16:creationId xmlns:a16="http://schemas.microsoft.com/office/drawing/2014/main" id="{00000000-0008-0000-1100-0000DF000000}"/>
            </a:ext>
          </a:extLst>
        </xdr:cNvPr>
        <xdr:cNvPicPr/>
      </xdr:nvPicPr>
      <xdr:blipFill>
        <a:blip xmlns:r="http://schemas.openxmlformats.org/officeDocument/2006/relationships" r:embed="rId5"/>
        <a:srcRect t="19152"/>
        <a:stretch/>
      </xdr:blipFill>
      <xdr:spPr>
        <a:xfrm>
          <a:off x="15375600" y="789840"/>
          <a:ext cx="1579680" cy="121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2</xdr:row>
      <xdr:rowOff>87840</xdr:rowOff>
    </xdr:from>
    <xdr:to>
      <xdr:col>16</xdr:col>
      <xdr:colOff>585720</xdr:colOff>
      <xdr:row>7</xdr:row>
      <xdr:rowOff>187920</xdr:rowOff>
    </xdr:to>
    <xdr:pic>
      <xdr:nvPicPr>
        <xdr:cNvPr id="224" name="Рисунок 5">
          <a:extLst>
            <a:ext uri="{FF2B5EF4-FFF2-40B4-BE49-F238E27FC236}">
              <a16:creationId xmlns:a16="http://schemas.microsoft.com/office/drawing/2014/main" id="{00000000-0008-0000-1100-0000E0000000}"/>
            </a:ext>
          </a:extLst>
        </xdr:cNvPr>
        <xdr:cNvPicPr/>
      </xdr:nvPicPr>
      <xdr:blipFill>
        <a:blip xmlns:r="http://schemas.openxmlformats.org/officeDocument/2006/relationships" r:embed="rId6"/>
        <a:srcRect l="3275" t="4046" r="5488" b="4084"/>
        <a:stretch/>
      </xdr:blipFill>
      <xdr:spPr>
        <a:xfrm>
          <a:off x="13623120" y="754560"/>
          <a:ext cx="1415880" cy="1271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476280</xdr:colOff>
      <xdr:row>34</xdr:row>
      <xdr:rowOff>227520</xdr:rowOff>
    </xdr:from>
    <xdr:to>
      <xdr:col>3</xdr:col>
      <xdr:colOff>1010880</xdr:colOff>
      <xdr:row>35</xdr:row>
      <xdr:rowOff>1953720</xdr:rowOff>
    </xdr:to>
    <xdr:pic>
      <xdr:nvPicPr>
        <xdr:cNvPr id="225" name="Рисунок 12">
          <a:extLst>
            <a:ext uri="{FF2B5EF4-FFF2-40B4-BE49-F238E27FC236}">
              <a16:creationId xmlns:a16="http://schemas.microsoft.com/office/drawing/2014/main" id="{00000000-0008-0000-1100-0000E1000000}"/>
            </a:ext>
          </a:extLst>
        </xdr:cNvPr>
        <xdr:cNvPicPr/>
      </xdr:nvPicPr>
      <xdr:blipFill>
        <a:blip xmlns:r="http://schemas.openxmlformats.org/officeDocument/2006/relationships" r:embed="rId7"/>
        <a:srcRect t="2788" b="5978"/>
        <a:stretch/>
      </xdr:blipFill>
      <xdr:spPr>
        <a:xfrm>
          <a:off x="1588320" y="11898360"/>
          <a:ext cx="2734560" cy="2011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14760</xdr:colOff>
      <xdr:row>35</xdr:row>
      <xdr:rowOff>58320</xdr:rowOff>
    </xdr:from>
    <xdr:to>
      <xdr:col>9</xdr:col>
      <xdr:colOff>51120</xdr:colOff>
      <xdr:row>35</xdr:row>
      <xdr:rowOff>1952280</xdr:rowOff>
    </xdr:to>
    <xdr:pic>
      <xdr:nvPicPr>
        <xdr:cNvPr id="226" name="Рисунок 13">
          <a:extLst>
            <a:ext uri="{FF2B5EF4-FFF2-40B4-BE49-F238E27FC236}">
              <a16:creationId xmlns:a16="http://schemas.microsoft.com/office/drawing/2014/main" id="{00000000-0008-0000-1100-0000E2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7641000" y="12014640"/>
          <a:ext cx="2126880" cy="18939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380880</xdr:colOff>
      <xdr:row>7</xdr:row>
      <xdr:rowOff>18720</xdr:rowOff>
    </xdr:from>
    <xdr:to>
      <xdr:col>2</xdr:col>
      <xdr:colOff>410760</xdr:colOff>
      <xdr:row>8</xdr:row>
      <xdr:rowOff>87120</xdr:rowOff>
    </xdr:to>
    <xdr:sp macro="" textlink="">
      <xdr:nvSpPr>
        <xdr:cNvPr id="227" name="TextBox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E3000000}"/>
            </a:ext>
          </a:extLst>
        </xdr:cNvPr>
        <xdr:cNvSpPr/>
      </xdr:nvSpPr>
      <xdr:spPr>
        <a:xfrm>
          <a:off x="537120" y="1856880"/>
          <a:ext cx="985680" cy="259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615600</xdr:colOff>
      <xdr:row>7</xdr:row>
      <xdr:rowOff>20160</xdr:rowOff>
    </xdr:from>
    <xdr:to>
      <xdr:col>2</xdr:col>
      <xdr:colOff>1466280</xdr:colOff>
      <xdr:row>8</xdr:row>
      <xdr:rowOff>89640</xdr:rowOff>
    </xdr:to>
    <xdr:sp macro="" textlink="">
      <xdr:nvSpPr>
        <xdr:cNvPr id="228" name="TextBox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E4000000}"/>
            </a:ext>
          </a:extLst>
        </xdr:cNvPr>
        <xdr:cNvSpPr/>
      </xdr:nvSpPr>
      <xdr:spPr>
        <a:xfrm>
          <a:off x="1727640" y="1858320"/>
          <a:ext cx="850680" cy="26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1692720</xdr:colOff>
      <xdr:row>7</xdr:row>
      <xdr:rowOff>25560</xdr:rowOff>
    </xdr:from>
    <xdr:to>
      <xdr:col>3</xdr:col>
      <xdr:colOff>515880</xdr:colOff>
      <xdr:row>8</xdr:row>
      <xdr:rowOff>89280</xdr:rowOff>
    </xdr:to>
    <xdr:sp macro="" textlink="">
      <xdr:nvSpPr>
        <xdr:cNvPr id="229" name="TextBox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E5000000}"/>
            </a:ext>
          </a:extLst>
        </xdr:cNvPr>
        <xdr:cNvSpPr/>
      </xdr:nvSpPr>
      <xdr:spPr>
        <a:xfrm>
          <a:off x="2804760" y="1863720"/>
          <a:ext cx="1023120" cy="254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386640</xdr:colOff>
      <xdr:row>6</xdr:row>
      <xdr:rowOff>109800</xdr:rowOff>
    </xdr:from>
    <xdr:to>
      <xdr:col>2</xdr:col>
      <xdr:colOff>411120</xdr:colOff>
      <xdr:row>8</xdr:row>
      <xdr:rowOff>104400</xdr:rowOff>
    </xdr:to>
    <xdr:sp macro="" textlink="">
      <xdr:nvSpPr>
        <xdr:cNvPr id="230" name="Прямоугольник: скругленные углы 15">
          <a:extLst>
            <a:ext uri="{FF2B5EF4-FFF2-40B4-BE49-F238E27FC236}">
              <a16:creationId xmlns:a16="http://schemas.microsoft.com/office/drawing/2014/main" id="{00000000-0008-0000-1100-0000E6000000}"/>
            </a:ext>
          </a:extLst>
        </xdr:cNvPr>
        <xdr:cNvSpPr/>
      </xdr:nvSpPr>
      <xdr:spPr>
        <a:xfrm>
          <a:off x="542880" y="1814760"/>
          <a:ext cx="980280" cy="3186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563400</xdr:colOff>
      <xdr:row>6</xdr:row>
      <xdr:rowOff>119520</xdr:rowOff>
    </xdr:from>
    <xdr:to>
      <xdr:col>2</xdr:col>
      <xdr:colOff>1498680</xdr:colOff>
      <xdr:row>8</xdr:row>
      <xdr:rowOff>110520</xdr:rowOff>
    </xdr:to>
    <xdr:sp macro="" textlink="">
      <xdr:nvSpPr>
        <xdr:cNvPr id="231" name="Прямоугольник: скругленные углы 16">
          <a:extLst>
            <a:ext uri="{FF2B5EF4-FFF2-40B4-BE49-F238E27FC236}">
              <a16:creationId xmlns:a16="http://schemas.microsoft.com/office/drawing/2014/main" id="{00000000-0008-0000-1100-0000E7000000}"/>
            </a:ext>
          </a:extLst>
        </xdr:cNvPr>
        <xdr:cNvSpPr/>
      </xdr:nvSpPr>
      <xdr:spPr>
        <a:xfrm>
          <a:off x="1675440" y="1824480"/>
          <a:ext cx="935280" cy="3150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1665360</xdr:colOff>
      <xdr:row>6</xdr:row>
      <xdr:rowOff>118440</xdr:rowOff>
    </xdr:from>
    <xdr:to>
      <xdr:col>3</xdr:col>
      <xdr:colOff>512280</xdr:colOff>
      <xdr:row>8</xdr:row>
      <xdr:rowOff>108360</xdr:rowOff>
    </xdr:to>
    <xdr:sp macro="" textlink="">
      <xdr:nvSpPr>
        <xdr:cNvPr id="232" name="Прямоугольник: скругленные углы 17">
          <a:extLst>
            <a:ext uri="{FF2B5EF4-FFF2-40B4-BE49-F238E27FC236}">
              <a16:creationId xmlns:a16="http://schemas.microsoft.com/office/drawing/2014/main" id="{00000000-0008-0000-1100-0000E8000000}"/>
            </a:ext>
          </a:extLst>
        </xdr:cNvPr>
        <xdr:cNvSpPr/>
      </xdr:nvSpPr>
      <xdr:spPr>
        <a:xfrm>
          <a:off x="2777400" y="1823400"/>
          <a:ext cx="1046880" cy="3139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106200</xdr:colOff>
      <xdr:row>15</xdr:row>
      <xdr:rowOff>152280</xdr:rowOff>
    </xdr:from>
    <xdr:to>
      <xdr:col>7</xdr:col>
      <xdr:colOff>839520</xdr:colOff>
      <xdr:row>27</xdr:row>
      <xdr:rowOff>119520</xdr:rowOff>
    </xdr:to>
    <xdr:pic>
      <xdr:nvPicPr>
        <xdr:cNvPr id="233" name="Рисунок 2">
          <a:extLst>
            <a:ext uri="{FF2B5EF4-FFF2-40B4-BE49-F238E27FC236}">
              <a16:creationId xmlns:a16="http://schemas.microsoft.com/office/drawing/2014/main" id="{00000000-0008-0000-1200-0000E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304840" y="4886280"/>
          <a:ext cx="2753280" cy="189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107640</xdr:colOff>
      <xdr:row>14</xdr:row>
      <xdr:rowOff>219960</xdr:rowOff>
    </xdr:from>
    <xdr:to>
      <xdr:col>4</xdr:col>
      <xdr:colOff>974160</xdr:colOff>
      <xdr:row>34</xdr:row>
      <xdr:rowOff>15480</xdr:rowOff>
    </xdr:to>
    <xdr:pic>
      <xdr:nvPicPr>
        <xdr:cNvPr id="234" name="Рисунок 3">
          <a:extLst>
            <a:ext uri="{FF2B5EF4-FFF2-40B4-BE49-F238E27FC236}">
              <a16:creationId xmlns:a16="http://schemas.microsoft.com/office/drawing/2014/main" id="{00000000-0008-0000-1200-0000E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7640" y="4639680"/>
          <a:ext cx="5979600" cy="3162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549360</xdr:colOff>
      <xdr:row>1</xdr:row>
      <xdr:rowOff>43920</xdr:rowOff>
    </xdr:from>
    <xdr:to>
      <xdr:col>10</xdr:col>
      <xdr:colOff>126360</xdr:colOff>
      <xdr:row>1</xdr:row>
      <xdr:rowOff>473760</xdr:rowOff>
    </xdr:to>
    <xdr:pic>
      <xdr:nvPicPr>
        <xdr:cNvPr id="235" name="Рисунок 5">
          <a:extLst>
            <a:ext uri="{FF2B5EF4-FFF2-40B4-BE49-F238E27FC236}">
              <a16:creationId xmlns:a16="http://schemas.microsoft.com/office/drawing/2014/main" id="{00000000-0008-0000-1200-0000EB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6524" t="20416" r="6347" b="21705"/>
        <a:stretch/>
      </xdr:blipFill>
      <xdr:spPr>
        <a:xfrm>
          <a:off x="10767960" y="186840"/>
          <a:ext cx="2059200" cy="42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293040</xdr:colOff>
      <xdr:row>2</xdr:row>
      <xdr:rowOff>27000</xdr:rowOff>
    </xdr:from>
    <xdr:to>
      <xdr:col>9</xdr:col>
      <xdr:colOff>748080</xdr:colOff>
      <xdr:row>8</xdr:row>
      <xdr:rowOff>36720</xdr:rowOff>
    </xdr:to>
    <xdr:pic>
      <xdr:nvPicPr>
        <xdr:cNvPr id="236" name="Рисунок 1">
          <a:extLst>
            <a:ext uri="{FF2B5EF4-FFF2-40B4-BE49-F238E27FC236}">
              <a16:creationId xmlns:a16="http://schemas.microsoft.com/office/drawing/2014/main" id="{00000000-0008-0000-1200-0000EC000000}"/>
            </a:ext>
          </a:extLst>
        </xdr:cNvPr>
        <xdr:cNvPicPr/>
      </xdr:nvPicPr>
      <xdr:blipFill>
        <a:blip xmlns:r="http://schemas.openxmlformats.org/officeDocument/2006/relationships" r:embed="rId5"/>
        <a:srcRect l="5552" t="10473" r="2919" b="1491"/>
        <a:stretch/>
      </xdr:blipFill>
      <xdr:spPr>
        <a:xfrm>
          <a:off x="10511640" y="703440"/>
          <a:ext cx="2146680" cy="1857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453240</xdr:colOff>
      <xdr:row>7</xdr:row>
      <xdr:rowOff>14400</xdr:rowOff>
    </xdr:from>
    <xdr:to>
      <xdr:col>2</xdr:col>
      <xdr:colOff>340560</xdr:colOff>
      <xdr:row>8</xdr:row>
      <xdr:rowOff>82800</xdr:rowOff>
    </xdr:to>
    <xdr:sp macro="" textlink="">
      <xdr:nvSpPr>
        <xdr:cNvPr id="237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200-0000ED000000}"/>
            </a:ext>
          </a:extLst>
        </xdr:cNvPr>
        <xdr:cNvSpPr/>
      </xdr:nvSpPr>
      <xdr:spPr>
        <a:xfrm>
          <a:off x="609480" y="2347920"/>
          <a:ext cx="99900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545400</xdr:colOff>
      <xdr:row>7</xdr:row>
      <xdr:rowOff>15840</xdr:rowOff>
    </xdr:from>
    <xdr:to>
      <xdr:col>2</xdr:col>
      <xdr:colOff>1396080</xdr:colOff>
      <xdr:row>8</xdr:row>
      <xdr:rowOff>85320</xdr:rowOff>
    </xdr:to>
    <xdr:sp macro="" textlink="">
      <xdr:nvSpPr>
        <xdr:cNvPr id="238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200-0000EE000000}"/>
            </a:ext>
          </a:extLst>
        </xdr:cNvPr>
        <xdr:cNvSpPr/>
      </xdr:nvSpPr>
      <xdr:spPr>
        <a:xfrm>
          <a:off x="1813320" y="2349360"/>
          <a:ext cx="85068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1622520</xdr:colOff>
      <xdr:row>7</xdr:row>
      <xdr:rowOff>21240</xdr:rowOff>
    </xdr:from>
    <xdr:to>
      <xdr:col>3</xdr:col>
      <xdr:colOff>484560</xdr:colOff>
      <xdr:row>8</xdr:row>
      <xdr:rowOff>84960</xdr:rowOff>
    </xdr:to>
    <xdr:sp macro="" textlink="">
      <xdr:nvSpPr>
        <xdr:cNvPr id="239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200-0000EF000000}"/>
            </a:ext>
          </a:extLst>
        </xdr:cNvPr>
        <xdr:cNvSpPr/>
      </xdr:nvSpPr>
      <xdr:spPr>
        <a:xfrm>
          <a:off x="2890440" y="2354760"/>
          <a:ext cx="103140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459000</xdr:colOff>
      <xdr:row>6</xdr:row>
      <xdr:rowOff>105120</xdr:rowOff>
    </xdr:from>
    <xdr:to>
      <xdr:col>2</xdr:col>
      <xdr:colOff>340920</xdr:colOff>
      <xdr:row>8</xdr:row>
      <xdr:rowOff>100080</xdr:rowOff>
    </xdr:to>
    <xdr:sp macro="" textlink="">
      <xdr:nvSpPr>
        <xdr:cNvPr id="240" name="Прямоугольник: скругленные углы 11">
          <a:extLst>
            <a:ext uri="{FF2B5EF4-FFF2-40B4-BE49-F238E27FC236}">
              <a16:creationId xmlns:a16="http://schemas.microsoft.com/office/drawing/2014/main" id="{00000000-0008-0000-1200-0000F0000000}"/>
            </a:ext>
          </a:extLst>
        </xdr:cNvPr>
        <xdr:cNvSpPr/>
      </xdr:nvSpPr>
      <xdr:spPr>
        <a:xfrm>
          <a:off x="615240" y="2305440"/>
          <a:ext cx="993600" cy="3186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493200</xdr:colOff>
      <xdr:row>6</xdr:row>
      <xdr:rowOff>114480</xdr:rowOff>
    </xdr:from>
    <xdr:to>
      <xdr:col>2</xdr:col>
      <xdr:colOff>1428480</xdr:colOff>
      <xdr:row>8</xdr:row>
      <xdr:rowOff>105840</xdr:rowOff>
    </xdr:to>
    <xdr:sp macro="" textlink="">
      <xdr:nvSpPr>
        <xdr:cNvPr id="241" name="Прямоугольник: скругленные углы 12">
          <a:extLst>
            <a:ext uri="{FF2B5EF4-FFF2-40B4-BE49-F238E27FC236}">
              <a16:creationId xmlns:a16="http://schemas.microsoft.com/office/drawing/2014/main" id="{00000000-0008-0000-1200-0000F1000000}"/>
            </a:ext>
          </a:extLst>
        </xdr:cNvPr>
        <xdr:cNvSpPr/>
      </xdr:nvSpPr>
      <xdr:spPr>
        <a:xfrm>
          <a:off x="1761120" y="2314800"/>
          <a:ext cx="935280" cy="3150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1594800</xdr:colOff>
      <xdr:row>6</xdr:row>
      <xdr:rowOff>113760</xdr:rowOff>
    </xdr:from>
    <xdr:to>
      <xdr:col>3</xdr:col>
      <xdr:colOff>480600</xdr:colOff>
      <xdr:row>8</xdr:row>
      <xdr:rowOff>104040</xdr:rowOff>
    </xdr:to>
    <xdr:sp macro="" textlink="">
      <xdr:nvSpPr>
        <xdr:cNvPr id="242" name="Прямоугольник: скругленные углы 13">
          <a:extLst>
            <a:ext uri="{FF2B5EF4-FFF2-40B4-BE49-F238E27FC236}">
              <a16:creationId xmlns:a16="http://schemas.microsoft.com/office/drawing/2014/main" id="{00000000-0008-0000-1200-0000F2000000}"/>
            </a:ext>
          </a:extLst>
        </xdr:cNvPr>
        <xdr:cNvSpPr/>
      </xdr:nvSpPr>
      <xdr:spPr>
        <a:xfrm>
          <a:off x="2862720" y="2314080"/>
          <a:ext cx="1055160" cy="3139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499320</xdr:colOff>
      <xdr:row>1</xdr:row>
      <xdr:rowOff>83520</xdr:rowOff>
    </xdr:from>
    <xdr:to>
      <xdr:col>4</xdr:col>
      <xdr:colOff>632160</xdr:colOff>
      <xdr:row>2</xdr:row>
      <xdr:rowOff>105840</xdr:rowOff>
    </xdr:to>
    <xdr:sp macro="" textlink="">
      <xdr:nvSpPr>
        <xdr:cNvPr id="3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7930800" y="226440"/>
          <a:ext cx="978480" cy="26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504720</xdr:colOff>
      <xdr:row>1</xdr:row>
      <xdr:rowOff>39240</xdr:rowOff>
    </xdr:from>
    <xdr:to>
      <xdr:col>4</xdr:col>
      <xdr:colOff>632160</xdr:colOff>
      <xdr:row>2</xdr:row>
      <xdr:rowOff>123480</xdr:rowOff>
    </xdr:to>
    <xdr:sp macro="" textlink="">
      <xdr:nvSpPr>
        <xdr:cNvPr id="35" name="Прямоугольник: скругленные углы 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7936200" y="182160"/>
          <a:ext cx="973080" cy="322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12960</xdr:colOff>
      <xdr:row>2</xdr:row>
      <xdr:rowOff>24840</xdr:rowOff>
    </xdr:from>
    <xdr:to>
      <xdr:col>11</xdr:col>
      <xdr:colOff>30240</xdr:colOff>
      <xdr:row>8</xdr:row>
      <xdr:rowOff>154080</xdr:rowOff>
    </xdr:to>
    <xdr:pic>
      <xdr:nvPicPr>
        <xdr:cNvPr id="243" name="Рисунок 2">
          <a:extLst>
            <a:ext uri="{FF2B5EF4-FFF2-40B4-BE49-F238E27FC236}">
              <a16:creationId xmlns:a16="http://schemas.microsoft.com/office/drawing/2014/main" id="{00000000-0008-0000-1300-0000F3000000}"/>
            </a:ext>
          </a:extLst>
        </xdr:cNvPr>
        <xdr:cNvPicPr/>
      </xdr:nvPicPr>
      <xdr:blipFill>
        <a:blip xmlns:r="http://schemas.openxmlformats.org/officeDocument/2006/relationships" r:embed="rId1"/>
        <a:srcRect l="27417" t="5325" r="18604" b="4426"/>
        <a:stretch/>
      </xdr:blipFill>
      <xdr:spPr>
        <a:xfrm flipH="1">
          <a:off x="10715760" y="701280"/>
          <a:ext cx="807840" cy="186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834120</xdr:colOff>
      <xdr:row>1</xdr:row>
      <xdr:rowOff>46080</xdr:rowOff>
    </xdr:from>
    <xdr:to>
      <xdr:col>11</xdr:col>
      <xdr:colOff>303120</xdr:colOff>
      <xdr:row>1</xdr:row>
      <xdr:rowOff>470880</xdr:rowOff>
    </xdr:to>
    <xdr:pic>
      <xdr:nvPicPr>
        <xdr:cNvPr id="244" name="Рисунок 4">
          <a:extLst>
            <a:ext uri="{FF2B5EF4-FFF2-40B4-BE49-F238E27FC236}">
              <a16:creationId xmlns:a16="http://schemas.microsoft.com/office/drawing/2014/main" id="{00000000-0008-0000-1300-0000F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6524" t="20416" r="6347" b="21705"/>
        <a:stretch/>
      </xdr:blipFill>
      <xdr:spPr>
        <a:xfrm>
          <a:off x="9728640" y="189000"/>
          <a:ext cx="206784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79560</xdr:colOff>
      <xdr:row>1</xdr:row>
      <xdr:rowOff>98640</xdr:rowOff>
    </xdr:from>
    <xdr:to>
      <xdr:col>14</xdr:col>
      <xdr:colOff>151560</xdr:colOff>
      <xdr:row>9</xdr:row>
      <xdr:rowOff>113040</xdr:rowOff>
    </xdr:to>
    <xdr:pic>
      <xdr:nvPicPr>
        <xdr:cNvPr id="245" name="Рисунок 1">
          <a:extLst>
            <a:ext uri="{FF2B5EF4-FFF2-40B4-BE49-F238E27FC236}">
              <a16:creationId xmlns:a16="http://schemas.microsoft.com/office/drawing/2014/main" id="{00000000-0008-0000-1300-0000F5000000}"/>
            </a:ext>
          </a:extLst>
        </xdr:cNvPr>
        <xdr:cNvPicPr/>
      </xdr:nvPicPr>
      <xdr:blipFill>
        <a:blip xmlns:r="http://schemas.openxmlformats.org/officeDocument/2006/relationships" r:embed="rId4"/>
        <a:srcRect l="13825" t="2144" r="5948"/>
        <a:stretch/>
      </xdr:blipFill>
      <xdr:spPr>
        <a:xfrm>
          <a:off x="12669120" y="241560"/>
          <a:ext cx="1113480" cy="247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3286080</xdr:colOff>
      <xdr:row>1</xdr:row>
      <xdr:rowOff>475560</xdr:rowOff>
    </xdr:from>
    <xdr:to>
      <xdr:col>16</xdr:col>
      <xdr:colOff>205560</xdr:colOff>
      <xdr:row>7</xdr:row>
      <xdr:rowOff>24840</xdr:rowOff>
    </xdr:to>
    <xdr:pic>
      <xdr:nvPicPr>
        <xdr:cNvPr id="246" name="Рисунок 20">
          <a:extLst>
            <a:ext uri="{FF2B5EF4-FFF2-40B4-BE49-F238E27FC236}">
              <a16:creationId xmlns:a16="http://schemas.microsoft.com/office/drawing/2014/main" id="{00000000-0008-0000-1300-0000F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6917120" y="618480"/>
          <a:ext cx="1814040" cy="162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1657440</xdr:colOff>
      <xdr:row>1</xdr:row>
      <xdr:rowOff>514080</xdr:rowOff>
    </xdr:from>
    <xdr:to>
      <xdr:col>14</xdr:col>
      <xdr:colOff>3300120</xdr:colOff>
      <xdr:row>7</xdr:row>
      <xdr:rowOff>19080</xdr:rowOff>
    </xdr:to>
    <xdr:pic>
      <xdr:nvPicPr>
        <xdr:cNvPr id="247" name="Рисунок 21">
          <a:extLst>
            <a:ext uri="{FF2B5EF4-FFF2-40B4-BE49-F238E27FC236}">
              <a16:creationId xmlns:a16="http://schemas.microsoft.com/office/drawing/2014/main" id="{00000000-0008-0000-1300-0000F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5288480" y="657000"/>
          <a:ext cx="1642680" cy="1581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60480</xdr:colOff>
      <xdr:row>1</xdr:row>
      <xdr:rowOff>479520</xdr:rowOff>
    </xdr:from>
    <xdr:to>
      <xdr:col>14</xdr:col>
      <xdr:colOff>1743480</xdr:colOff>
      <xdr:row>7</xdr:row>
      <xdr:rowOff>53280</xdr:rowOff>
    </xdr:to>
    <xdr:pic>
      <xdr:nvPicPr>
        <xdr:cNvPr id="248" name="Рисунок 22">
          <a:extLst>
            <a:ext uri="{FF2B5EF4-FFF2-40B4-BE49-F238E27FC236}">
              <a16:creationId xmlns:a16="http://schemas.microsoft.com/office/drawing/2014/main" id="{00000000-0008-0000-1300-0000F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3691520" y="622440"/>
          <a:ext cx="1683000" cy="165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16</xdr:col>
      <xdr:colOff>181080</xdr:colOff>
      <xdr:row>1</xdr:row>
      <xdr:rowOff>523800</xdr:rowOff>
    </xdr:from>
    <xdr:to>
      <xdr:col>18</xdr:col>
      <xdr:colOff>452880</xdr:colOff>
      <xdr:row>7</xdr:row>
      <xdr:rowOff>28800</xdr:rowOff>
    </xdr:to>
    <xdr:pic>
      <xdr:nvPicPr>
        <xdr:cNvPr id="249" name="Рисунок 24">
          <a:extLst>
            <a:ext uri="{FF2B5EF4-FFF2-40B4-BE49-F238E27FC236}">
              <a16:creationId xmlns:a16="http://schemas.microsoft.com/office/drawing/2014/main" id="{00000000-0008-0000-1300-0000F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8706680" y="666720"/>
          <a:ext cx="1711800" cy="158148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461520</xdr:colOff>
      <xdr:row>7</xdr:row>
      <xdr:rowOff>40680</xdr:rowOff>
    </xdr:from>
    <xdr:to>
      <xdr:col>2</xdr:col>
      <xdr:colOff>315360</xdr:colOff>
      <xdr:row>8</xdr:row>
      <xdr:rowOff>109080</xdr:rowOff>
    </xdr:to>
    <xdr:sp macro="" textlink="">
      <xdr:nvSpPr>
        <xdr:cNvPr id="250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300-0000FA000000}"/>
            </a:ext>
          </a:extLst>
        </xdr:cNvPr>
        <xdr:cNvSpPr/>
      </xdr:nvSpPr>
      <xdr:spPr>
        <a:xfrm>
          <a:off x="617760" y="2260080"/>
          <a:ext cx="99684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520200</xdr:colOff>
      <xdr:row>7</xdr:row>
      <xdr:rowOff>42120</xdr:rowOff>
    </xdr:from>
    <xdr:to>
      <xdr:col>3</xdr:col>
      <xdr:colOff>396360</xdr:colOff>
      <xdr:row>8</xdr:row>
      <xdr:rowOff>111600</xdr:rowOff>
    </xdr:to>
    <xdr:sp macro="" textlink="">
      <xdr:nvSpPr>
        <xdr:cNvPr id="251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300-0000FB000000}"/>
            </a:ext>
          </a:extLst>
        </xdr:cNvPr>
        <xdr:cNvSpPr/>
      </xdr:nvSpPr>
      <xdr:spPr>
        <a:xfrm>
          <a:off x="1819440" y="2261520"/>
          <a:ext cx="90216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623160</xdr:colOff>
      <xdr:row>7</xdr:row>
      <xdr:rowOff>47520</xdr:rowOff>
    </xdr:from>
    <xdr:to>
      <xdr:col>4</xdr:col>
      <xdr:colOff>354960</xdr:colOff>
      <xdr:row>8</xdr:row>
      <xdr:rowOff>111240</xdr:rowOff>
    </xdr:to>
    <xdr:sp macro="" textlink="">
      <xdr:nvSpPr>
        <xdr:cNvPr id="252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300-0000FC000000}"/>
            </a:ext>
          </a:extLst>
        </xdr:cNvPr>
        <xdr:cNvSpPr/>
      </xdr:nvSpPr>
      <xdr:spPr>
        <a:xfrm>
          <a:off x="2948400" y="2266920"/>
          <a:ext cx="98496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467280</xdr:colOff>
      <xdr:row>7</xdr:row>
      <xdr:rowOff>3600</xdr:rowOff>
    </xdr:from>
    <xdr:to>
      <xdr:col>2</xdr:col>
      <xdr:colOff>315720</xdr:colOff>
      <xdr:row>8</xdr:row>
      <xdr:rowOff>126360</xdr:rowOff>
    </xdr:to>
    <xdr:sp macro="" textlink="">
      <xdr:nvSpPr>
        <xdr:cNvPr id="253" name="Прямоугольник: скругленные углы 13">
          <a:extLst>
            <a:ext uri="{FF2B5EF4-FFF2-40B4-BE49-F238E27FC236}">
              <a16:creationId xmlns:a16="http://schemas.microsoft.com/office/drawing/2014/main" id="{00000000-0008-0000-1300-0000FD000000}"/>
            </a:ext>
          </a:extLst>
        </xdr:cNvPr>
        <xdr:cNvSpPr/>
      </xdr:nvSpPr>
      <xdr:spPr>
        <a:xfrm>
          <a:off x="623520" y="2223000"/>
          <a:ext cx="99144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468000</xdr:colOff>
      <xdr:row>7</xdr:row>
      <xdr:rowOff>9360</xdr:rowOff>
    </xdr:from>
    <xdr:to>
      <xdr:col>3</xdr:col>
      <xdr:colOff>428760</xdr:colOff>
      <xdr:row>8</xdr:row>
      <xdr:rowOff>132120</xdr:rowOff>
    </xdr:to>
    <xdr:sp macro="" textlink="">
      <xdr:nvSpPr>
        <xdr:cNvPr id="254" name="Прямоугольник: скругленные углы 14">
          <a:extLst>
            <a:ext uri="{FF2B5EF4-FFF2-40B4-BE49-F238E27FC236}">
              <a16:creationId xmlns:a16="http://schemas.microsoft.com/office/drawing/2014/main" id="{00000000-0008-0000-1300-0000FE000000}"/>
            </a:ext>
          </a:extLst>
        </xdr:cNvPr>
        <xdr:cNvSpPr/>
      </xdr:nvSpPr>
      <xdr:spPr>
        <a:xfrm>
          <a:off x="1767240" y="2228760"/>
          <a:ext cx="98676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595440</xdr:colOff>
      <xdr:row>7</xdr:row>
      <xdr:rowOff>8640</xdr:rowOff>
    </xdr:from>
    <xdr:to>
      <xdr:col>4</xdr:col>
      <xdr:colOff>351000</xdr:colOff>
      <xdr:row>8</xdr:row>
      <xdr:rowOff>130320</xdr:rowOff>
    </xdr:to>
    <xdr:sp macro="" textlink="">
      <xdr:nvSpPr>
        <xdr:cNvPr id="255" name="Прямоугольник: скругленные углы 15">
          <a:extLst>
            <a:ext uri="{FF2B5EF4-FFF2-40B4-BE49-F238E27FC236}">
              <a16:creationId xmlns:a16="http://schemas.microsoft.com/office/drawing/2014/main" id="{00000000-0008-0000-1300-0000FF000000}"/>
            </a:ext>
          </a:extLst>
        </xdr:cNvPr>
        <xdr:cNvSpPr/>
      </xdr:nvSpPr>
      <xdr:spPr>
        <a:xfrm>
          <a:off x="2920680" y="2228040"/>
          <a:ext cx="1008720" cy="3121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183600</xdr:colOff>
      <xdr:row>16</xdr:row>
      <xdr:rowOff>33840</xdr:rowOff>
    </xdr:from>
    <xdr:to>
      <xdr:col>10</xdr:col>
      <xdr:colOff>175320</xdr:colOff>
      <xdr:row>29</xdr:row>
      <xdr:rowOff>125280</xdr:rowOff>
    </xdr:to>
    <xdr:pic>
      <xdr:nvPicPr>
        <xdr:cNvPr id="256" name="Рисунок 4">
          <a:extLst>
            <a:ext uri="{FF2B5EF4-FFF2-40B4-BE49-F238E27FC236}">
              <a16:creationId xmlns:a16="http://schemas.microsoft.com/office/drawing/2014/main" id="{00000000-0008-0000-1400-000000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21920" y="4520160"/>
          <a:ext cx="2489040" cy="210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66240</xdr:colOff>
      <xdr:row>2</xdr:row>
      <xdr:rowOff>596520</xdr:rowOff>
    </xdr:from>
    <xdr:to>
      <xdr:col>10</xdr:col>
      <xdr:colOff>183960</xdr:colOff>
      <xdr:row>8</xdr:row>
      <xdr:rowOff>187200</xdr:rowOff>
    </xdr:to>
    <xdr:pic>
      <xdr:nvPicPr>
        <xdr:cNvPr id="257" name="Рисунок 2">
          <a:extLst>
            <a:ext uri="{FF2B5EF4-FFF2-40B4-BE49-F238E27FC236}">
              <a16:creationId xmlns:a16="http://schemas.microsoft.com/office/drawing/2014/main" id="{00000000-0008-0000-1400-000001010000}"/>
            </a:ext>
          </a:extLst>
        </xdr:cNvPr>
        <xdr:cNvPicPr/>
      </xdr:nvPicPr>
      <xdr:blipFill>
        <a:blip xmlns:r="http://schemas.openxmlformats.org/officeDocument/2006/relationships" r:embed="rId2"/>
        <a:srcRect l="7987" t="8780" r="463" b="14998"/>
        <a:stretch/>
      </xdr:blipFill>
      <xdr:spPr>
        <a:xfrm>
          <a:off x="8404560" y="1253880"/>
          <a:ext cx="2615040" cy="1390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425160</xdr:colOff>
      <xdr:row>1</xdr:row>
      <xdr:rowOff>434160</xdr:rowOff>
    </xdr:from>
    <xdr:to>
      <xdr:col>9</xdr:col>
      <xdr:colOff>257400</xdr:colOff>
      <xdr:row>2</xdr:row>
      <xdr:rowOff>852480</xdr:rowOff>
    </xdr:to>
    <xdr:pic>
      <xdr:nvPicPr>
        <xdr:cNvPr id="258" name="Рисунок 8">
          <a:extLst>
            <a:ext uri="{FF2B5EF4-FFF2-40B4-BE49-F238E27FC236}">
              <a16:creationId xmlns:a16="http://schemas.microsoft.com/office/drawing/2014/main" id="{00000000-0008-0000-1400-00000201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/>
      </xdr:blipFill>
      <xdr:spPr>
        <a:xfrm rot="21243000">
          <a:off x="8763120" y="576720"/>
          <a:ext cx="1539000" cy="93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563040</xdr:colOff>
      <xdr:row>1</xdr:row>
      <xdr:rowOff>26640</xdr:rowOff>
    </xdr:from>
    <xdr:to>
      <xdr:col>10</xdr:col>
      <xdr:colOff>119160</xdr:colOff>
      <xdr:row>1</xdr:row>
      <xdr:rowOff>451440</xdr:rowOff>
    </xdr:to>
    <xdr:pic>
      <xdr:nvPicPr>
        <xdr:cNvPr id="259" name="Рисунок 5">
          <a:extLst>
            <a:ext uri="{FF2B5EF4-FFF2-40B4-BE49-F238E27FC236}">
              <a16:creationId xmlns:a16="http://schemas.microsoft.com/office/drawing/2014/main" id="{00000000-0008-0000-1400-000003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rcRect l="6524" t="20416" r="6347" b="21705"/>
        <a:stretch/>
      </xdr:blipFill>
      <xdr:spPr>
        <a:xfrm>
          <a:off x="8901360" y="169560"/>
          <a:ext cx="205344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535680</xdr:colOff>
      <xdr:row>7</xdr:row>
      <xdr:rowOff>16560</xdr:rowOff>
    </xdr:from>
    <xdr:to>
      <xdr:col>2</xdr:col>
      <xdr:colOff>253440</xdr:colOff>
      <xdr:row>8</xdr:row>
      <xdr:rowOff>84960</xdr:rowOff>
    </xdr:to>
    <xdr:sp macro="" textlink="">
      <xdr:nvSpPr>
        <xdr:cNvPr id="26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400-000004010000}"/>
            </a:ext>
          </a:extLst>
        </xdr:cNvPr>
        <xdr:cNvSpPr/>
      </xdr:nvSpPr>
      <xdr:spPr>
        <a:xfrm>
          <a:off x="691920" y="2283480"/>
          <a:ext cx="100188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458280</xdr:colOff>
      <xdr:row>7</xdr:row>
      <xdr:rowOff>18360</xdr:rowOff>
    </xdr:from>
    <xdr:to>
      <xdr:col>3</xdr:col>
      <xdr:colOff>100440</xdr:colOff>
      <xdr:row>8</xdr:row>
      <xdr:rowOff>87840</xdr:rowOff>
    </xdr:to>
    <xdr:sp macro="" textlink="">
      <xdr:nvSpPr>
        <xdr:cNvPr id="26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400-000005010000}"/>
            </a:ext>
          </a:extLst>
        </xdr:cNvPr>
        <xdr:cNvSpPr/>
      </xdr:nvSpPr>
      <xdr:spPr>
        <a:xfrm>
          <a:off x="1898640" y="2285280"/>
          <a:ext cx="92592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327240</xdr:colOff>
      <xdr:row>7</xdr:row>
      <xdr:rowOff>23760</xdr:rowOff>
    </xdr:from>
    <xdr:to>
      <xdr:col>4</xdr:col>
      <xdr:colOff>411120</xdr:colOff>
      <xdr:row>8</xdr:row>
      <xdr:rowOff>87480</xdr:rowOff>
    </xdr:to>
    <xdr:sp macro="" textlink="">
      <xdr:nvSpPr>
        <xdr:cNvPr id="26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400-000006010000}"/>
            </a:ext>
          </a:extLst>
        </xdr:cNvPr>
        <xdr:cNvSpPr/>
      </xdr:nvSpPr>
      <xdr:spPr>
        <a:xfrm>
          <a:off x="3051360" y="2290680"/>
          <a:ext cx="9608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541440</xdr:colOff>
      <xdr:row>6</xdr:row>
      <xdr:rowOff>119160</xdr:rowOff>
    </xdr:from>
    <xdr:to>
      <xdr:col>2</xdr:col>
      <xdr:colOff>254160</xdr:colOff>
      <xdr:row>8</xdr:row>
      <xdr:rowOff>102600</xdr:rowOff>
    </xdr:to>
    <xdr:sp macro="" textlink="">
      <xdr:nvSpPr>
        <xdr:cNvPr id="263" name="Прямоугольник: скругленные углы 12">
          <a:extLst>
            <a:ext uri="{FF2B5EF4-FFF2-40B4-BE49-F238E27FC236}">
              <a16:creationId xmlns:a16="http://schemas.microsoft.com/office/drawing/2014/main" id="{00000000-0008-0000-1400-000007010000}"/>
            </a:ext>
          </a:extLst>
        </xdr:cNvPr>
        <xdr:cNvSpPr/>
      </xdr:nvSpPr>
      <xdr:spPr>
        <a:xfrm>
          <a:off x="697680" y="2243160"/>
          <a:ext cx="996840" cy="3168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406080</xdr:colOff>
      <xdr:row>6</xdr:row>
      <xdr:rowOff>128520</xdr:rowOff>
    </xdr:from>
    <xdr:to>
      <xdr:col>3</xdr:col>
      <xdr:colOff>132840</xdr:colOff>
      <xdr:row>8</xdr:row>
      <xdr:rowOff>108360</xdr:rowOff>
    </xdr:to>
    <xdr:sp macro="" textlink="">
      <xdr:nvSpPr>
        <xdr:cNvPr id="264" name="Прямоугольник: скругленные углы 13">
          <a:extLst>
            <a:ext uri="{FF2B5EF4-FFF2-40B4-BE49-F238E27FC236}">
              <a16:creationId xmlns:a16="http://schemas.microsoft.com/office/drawing/2014/main" id="{00000000-0008-0000-1400-000008010000}"/>
            </a:ext>
          </a:extLst>
        </xdr:cNvPr>
        <xdr:cNvSpPr/>
      </xdr:nvSpPr>
      <xdr:spPr>
        <a:xfrm>
          <a:off x="1846440" y="2252520"/>
          <a:ext cx="101052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299520</xdr:colOff>
      <xdr:row>6</xdr:row>
      <xdr:rowOff>127800</xdr:rowOff>
    </xdr:from>
    <xdr:to>
      <xdr:col>4</xdr:col>
      <xdr:colOff>407160</xdr:colOff>
      <xdr:row>8</xdr:row>
      <xdr:rowOff>106560</xdr:rowOff>
    </xdr:to>
    <xdr:sp macro="" textlink="">
      <xdr:nvSpPr>
        <xdr:cNvPr id="265" name="Прямоугольник: скругленные углы 14">
          <a:extLst>
            <a:ext uri="{FF2B5EF4-FFF2-40B4-BE49-F238E27FC236}">
              <a16:creationId xmlns:a16="http://schemas.microsoft.com/office/drawing/2014/main" id="{00000000-0008-0000-1400-000009010000}"/>
            </a:ext>
          </a:extLst>
        </xdr:cNvPr>
        <xdr:cNvSpPr/>
      </xdr:nvSpPr>
      <xdr:spPr>
        <a:xfrm>
          <a:off x="3023640" y="2251800"/>
          <a:ext cx="984600" cy="3121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1080000</xdr:colOff>
      <xdr:row>2</xdr:row>
      <xdr:rowOff>72360</xdr:rowOff>
    </xdr:from>
    <xdr:to>
      <xdr:col>8</xdr:col>
      <xdr:colOff>624600</xdr:colOff>
      <xdr:row>7</xdr:row>
      <xdr:rowOff>45720</xdr:rowOff>
    </xdr:to>
    <xdr:pic>
      <xdr:nvPicPr>
        <xdr:cNvPr id="266" name="Рисунок 4">
          <a:extLst>
            <a:ext uri="{FF2B5EF4-FFF2-40B4-BE49-F238E27FC236}">
              <a16:creationId xmlns:a16="http://schemas.microsoft.com/office/drawing/2014/main" id="{00000000-0008-0000-1500-00000A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40200" y="748800"/>
          <a:ext cx="797400" cy="1411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1011600</xdr:colOff>
      <xdr:row>2</xdr:row>
      <xdr:rowOff>378000</xdr:rowOff>
    </xdr:from>
    <xdr:to>
      <xdr:col>7</xdr:col>
      <xdr:colOff>393840</xdr:colOff>
      <xdr:row>6</xdr:row>
      <xdr:rowOff>56880</xdr:rowOff>
    </xdr:to>
    <xdr:pic>
      <xdr:nvPicPr>
        <xdr:cNvPr id="267" name="Рисунок 6">
          <a:extLst>
            <a:ext uri="{FF2B5EF4-FFF2-40B4-BE49-F238E27FC236}">
              <a16:creationId xmlns:a16="http://schemas.microsoft.com/office/drawing/2014/main" id="{00000000-0008-0000-1500-00000B010000}"/>
            </a:ext>
          </a:extLst>
        </xdr:cNvPr>
        <xdr:cNvPicPr/>
      </xdr:nvPicPr>
      <xdr:blipFill>
        <a:blip xmlns:r="http://schemas.openxmlformats.org/officeDocument/2006/relationships" r:embed="rId2"/>
        <a:srcRect b="2162"/>
        <a:stretch/>
      </xdr:blipFill>
      <xdr:spPr>
        <a:xfrm>
          <a:off x="8128800" y="1054440"/>
          <a:ext cx="525240" cy="98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830160</xdr:colOff>
      <xdr:row>1</xdr:row>
      <xdr:rowOff>52560</xdr:rowOff>
    </xdr:from>
    <xdr:to>
      <xdr:col>10</xdr:col>
      <xdr:colOff>3600</xdr:colOff>
      <xdr:row>1</xdr:row>
      <xdr:rowOff>477360</xdr:rowOff>
    </xdr:to>
    <xdr:pic>
      <xdr:nvPicPr>
        <xdr:cNvPr id="268" name="Рисунок 3">
          <a:extLst>
            <a:ext uri="{FF2B5EF4-FFF2-40B4-BE49-F238E27FC236}">
              <a16:creationId xmlns:a16="http://schemas.microsoft.com/office/drawing/2014/main" id="{00000000-0008-0000-1500-00000C01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6524" t="20416" r="6347" b="21705"/>
        <a:stretch/>
      </xdr:blipFill>
      <xdr:spPr>
        <a:xfrm>
          <a:off x="9090360" y="195480"/>
          <a:ext cx="207792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426960</xdr:colOff>
      <xdr:row>7</xdr:row>
      <xdr:rowOff>24480</xdr:rowOff>
    </xdr:from>
    <xdr:to>
      <xdr:col>2</xdr:col>
      <xdr:colOff>309960</xdr:colOff>
      <xdr:row>8</xdr:row>
      <xdr:rowOff>92880</xdr:rowOff>
    </xdr:to>
    <xdr:sp macro="" textlink="">
      <xdr:nvSpPr>
        <xdr:cNvPr id="269" name="TextBox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D010000}"/>
            </a:ext>
          </a:extLst>
        </xdr:cNvPr>
        <xdr:cNvSpPr/>
      </xdr:nvSpPr>
      <xdr:spPr>
        <a:xfrm>
          <a:off x="583200" y="2139120"/>
          <a:ext cx="99468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514800</xdr:colOff>
      <xdr:row>7</xdr:row>
      <xdr:rowOff>25920</xdr:rowOff>
    </xdr:from>
    <xdr:to>
      <xdr:col>2</xdr:col>
      <xdr:colOff>1365840</xdr:colOff>
      <xdr:row>8</xdr:row>
      <xdr:rowOff>95400</xdr:rowOff>
    </xdr:to>
    <xdr:sp macro="" textlink="">
      <xdr:nvSpPr>
        <xdr:cNvPr id="270" name="TextBox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0E010000}"/>
            </a:ext>
          </a:extLst>
        </xdr:cNvPr>
        <xdr:cNvSpPr/>
      </xdr:nvSpPr>
      <xdr:spPr>
        <a:xfrm>
          <a:off x="1782720" y="2140560"/>
          <a:ext cx="85104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213120</xdr:colOff>
      <xdr:row>7</xdr:row>
      <xdr:rowOff>31320</xdr:rowOff>
    </xdr:from>
    <xdr:to>
      <xdr:col>3</xdr:col>
      <xdr:colOff>1125000</xdr:colOff>
      <xdr:row>8</xdr:row>
      <xdr:rowOff>95040</xdr:rowOff>
    </xdr:to>
    <xdr:sp macro="" textlink="">
      <xdr:nvSpPr>
        <xdr:cNvPr id="271" name="TextBox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500-00000F010000}"/>
            </a:ext>
          </a:extLst>
        </xdr:cNvPr>
        <xdr:cNvSpPr/>
      </xdr:nvSpPr>
      <xdr:spPr>
        <a:xfrm>
          <a:off x="2945520" y="2145960"/>
          <a:ext cx="91188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432720</xdr:colOff>
      <xdr:row>6</xdr:row>
      <xdr:rowOff>111600</xdr:rowOff>
    </xdr:from>
    <xdr:to>
      <xdr:col>2</xdr:col>
      <xdr:colOff>310680</xdr:colOff>
      <xdr:row>8</xdr:row>
      <xdr:rowOff>110520</xdr:rowOff>
    </xdr:to>
    <xdr:sp macro="" textlink="">
      <xdr:nvSpPr>
        <xdr:cNvPr id="272" name="Прямоугольник: скругленные углы 18">
          <a:extLst>
            <a:ext uri="{FF2B5EF4-FFF2-40B4-BE49-F238E27FC236}">
              <a16:creationId xmlns:a16="http://schemas.microsoft.com/office/drawing/2014/main" id="{00000000-0008-0000-1500-000010010000}"/>
            </a:ext>
          </a:extLst>
        </xdr:cNvPr>
        <xdr:cNvSpPr/>
      </xdr:nvSpPr>
      <xdr:spPr>
        <a:xfrm>
          <a:off x="588960" y="2092680"/>
          <a:ext cx="989640" cy="3229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462600</xdr:colOff>
      <xdr:row>6</xdr:row>
      <xdr:rowOff>121320</xdr:rowOff>
    </xdr:from>
    <xdr:to>
      <xdr:col>3</xdr:col>
      <xdr:colOff>18720</xdr:colOff>
      <xdr:row>8</xdr:row>
      <xdr:rowOff>116280</xdr:rowOff>
    </xdr:to>
    <xdr:sp macro="" textlink="">
      <xdr:nvSpPr>
        <xdr:cNvPr id="273" name="Прямоугольник: скругленные углы 19">
          <a:extLst>
            <a:ext uri="{FF2B5EF4-FFF2-40B4-BE49-F238E27FC236}">
              <a16:creationId xmlns:a16="http://schemas.microsoft.com/office/drawing/2014/main" id="{00000000-0008-0000-1500-000011010000}"/>
            </a:ext>
          </a:extLst>
        </xdr:cNvPr>
        <xdr:cNvSpPr/>
      </xdr:nvSpPr>
      <xdr:spPr>
        <a:xfrm>
          <a:off x="1730520" y="2102400"/>
          <a:ext cx="1020600" cy="31896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185400</xdr:colOff>
      <xdr:row>6</xdr:row>
      <xdr:rowOff>120240</xdr:rowOff>
    </xdr:from>
    <xdr:to>
      <xdr:col>3</xdr:col>
      <xdr:colOff>1121040</xdr:colOff>
      <xdr:row>8</xdr:row>
      <xdr:rowOff>114480</xdr:rowOff>
    </xdr:to>
    <xdr:sp macro="" textlink="">
      <xdr:nvSpPr>
        <xdr:cNvPr id="274" name="Прямоугольник: скругленные углы 20">
          <a:extLst>
            <a:ext uri="{FF2B5EF4-FFF2-40B4-BE49-F238E27FC236}">
              <a16:creationId xmlns:a16="http://schemas.microsoft.com/office/drawing/2014/main" id="{00000000-0008-0000-1500-000012010000}"/>
            </a:ext>
          </a:extLst>
        </xdr:cNvPr>
        <xdr:cNvSpPr/>
      </xdr:nvSpPr>
      <xdr:spPr>
        <a:xfrm>
          <a:off x="2917800" y="2101320"/>
          <a:ext cx="935640" cy="31824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549360</xdr:colOff>
      <xdr:row>1</xdr:row>
      <xdr:rowOff>43920</xdr:rowOff>
    </xdr:from>
    <xdr:to>
      <xdr:col>12</xdr:col>
      <xdr:colOff>122400</xdr:colOff>
      <xdr:row>1</xdr:row>
      <xdr:rowOff>468720</xdr:rowOff>
    </xdr:to>
    <xdr:pic>
      <xdr:nvPicPr>
        <xdr:cNvPr id="275" name="Рисунок 3">
          <a:extLst>
            <a:ext uri="{FF2B5EF4-FFF2-40B4-BE49-F238E27FC236}">
              <a16:creationId xmlns:a16="http://schemas.microsoft.com/office/drawing/2014/main" id="{00000000-0008-0000-1600-00001301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6524" t="20416" r="6347" b="21705"/>
        <a:stretch/>
      </xdr:blipFill>
      <xdr:spPr>
        <a:xfrm>
          <a:off x="10595520" y="186840"/>
          <a:ext cx="205560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957600</xdr:colOff>
      <xdr:row>2</xdr:row>
      <xdr:rowOff>248760</xdr:rowOff>
    </xdr:from>
    <xdr:to>
      <xdr:col>10</xdr:col>
      <xdr:colOff>45720</xdr:colOff>
      <xdr:row>7</xdr:row>
      <xdr:rowOff>151920</xdr:rowOff>
    </xdr:to>
    <xdr:pic>
      <xdr:nvPicPr>
        <xdr:cNvPr id="276" name="Рисунок 6">
          <a:extLst>
            <a:ext uri="{FF2B5EF4-FFF2-40B4-BE49-F238E27FC236}">
              <a16:creationId xmlns:a16="http://schemas.microsoft.com/office/drawing/2014/main" id="{00000000-0008-0000-1600-0000140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 rot="14552400">
          <a:off x="9595800" y="1033560"/>
          <a:ext cx="1560240" cy="134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5400</xdr:colOff>
      <xdr:row>2</xdr:row>
      <xdr:rowOff>63720</xdr:rowOff>
    </xdr:from>
    <xdr:to>
      <xdr:col>11</xdr:col>
      <xdr:colOff>701640</xdr:colOff>
      <xdr:row>7</xdr:row>
      <xdr:rowOff>181800</xdr:rowOff>
    </xdr:to>
    <xdr:pic>
      <xdr:nvPicPr>
        <xdr:cNvPr id="277" name="Рисунок 9">
          <a:extLst>
            <a:ext uri="{FF2B5EF4-FFF2-40B4-BE49-F238E27FC236}">
              <a16:creationId xmlns:a16="http://schemas.microsoft.com/office/drawing/2014/main" id="{00000000-0008-0000-1600-00001501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 rot="14552400">
          <a:off x="10835640" y="911520"/>
          <a:ext cx="1775160" cy="143208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374400</xdr:colOff>
      <xdr:row>7</xdr:row>
      <xdr:rowOff>4680</xdr:rowOff>
    </xdr:from>
    <xdr:to>
      <xdr:col>2</xdr:col>
      <xdr:colOff>257400</xdr:colOff>
      <xdr:row>8</xdr:row>
      <xdr:rowOff>73080</xdr:rowOff>
    </xdr:to>
    <xdr:sp macro="" textlink="">
      <xdr:nvSpPr>
        <xdr:cNvPr id="278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600-000016010000}"/>
            </a:ext>
          </a:extLst>
        </xdr:cNvPr>
        <xdr:cNvSpPr/>
      </xdr:nvSpPr>
      <xdr:spPr>
        <a:xfrm>
          <a:off x="530640" y="2338200"/>
          <a:ext cx="99468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462240</xdr:colOff>
      <xdr:row>7</xdr:row>
      <xdr:rowOff>6480</xdr:rowOff>
    </xdr:from>
    <xdr:to>
      <xdr:col>3</xdr:col>
      <xdr:colOff>71640</xdr:colOff>
      <xdr:row>8</xdr:row>
      <xdr:rowOff>75960</xdr:rowOff>
    </xdr:to>
    <xdr:sp macro="" textlink="">
      <xdr:nvSpPr>
        <xdr:cNvPr id="279" name="TextBox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17010000}"/>
            </a:ext>
          </a:extLst>
        </xdr:cNvPr>
        <xdr:cNvSpPr/>
      </xdr:nvSpPr>
      <xdr:spPr>
        <a:xfrm>
          <a:off x="1730160" y="2340000"/>
          <a:ext cx="91764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298440</xdr:colOff>
      <xdr:row>7</xdr:row>
      <xdr:rowOff>11520</xdr:rowOff>
    </xdr:from>
    <xdr:to>
      <xdr:col>3</xdr:col>
      <xdr:colOff>1210320</xdr:colOff>
      <xdr:row>8</xdr:row>
      <xdr:rowOff>75240</xdr:rowOff>
    </xdr:to>
    <xdr:sp macro="" textlink="">
      <xdr:nvSpPr>
        <xdr:cNvPr id="280" name="TextBox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600-000018010000}"/>
            </a:ext>
          </a:extLst>
        </xdr:cNvPr>
        <xdr:cNvSpPr/>
      </xdr:nvSpPr>
      <xdr:spPr>
        <a:xfrm>
          <a:off x="2874600" y="2345040"/>
          <a:ext cx="91188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380160</xdr:colOff>
      <xdr:row>6</xdr:row>
      <xdr:rowOff>91800</xdr:rowOff>
    </xdr:from>
    <xdr:to>
      <xdr:col>2</xdr:col>
      <xdr:colOff>258120</xdr:colOff>
      <xdr:row>8</xdr:row>
      <xdr:rowOff>90720</xdr:rowOff>
    </xdr:to>
    <xdr:sp macro="" textlink="">
      <xdr:nvSpPr>
        <xdr:cNvPr id="281" name="Прямоугольник: скругленные углы 15">
          <a:extLst>
            <a:ext uri="{FF2B5EF4-FFF2-40B4-BE49-F238E27FC236}">
              <a16:creationId xmlns:a16="http://schemas.microsoft.com/office/drawing/2014/main" id="{00000000-0008-0000-1600-000019010000}"/>
            </a:ext>
          </a:extLst>
        </xdr:cNvPr>
        <xdr:cNvSpPr/>
      </xdr:nvSpPr>
      <xdr:spPr>
        <a:xfrm>
          <a:off x="536400" y="2292120"/>
          <a:ext cx="989640" cy="32256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410040</xdr:colOff>
      <xdr:row>6</xdr:row>
      <xdr:rowOff>101520</xdr:rowOff>
    </xdr:from>
    <xdr:to>
      <xdr:col>3</xdr:col>
      <xdr:colOff>104400</xdr:colOff>
      <xdr:row>8</xdr:row>
      <xdr:rowOff>96480</xdr:rowOff>
    </xdr:to>
    <xdr:sp macro="" textlink="">
      <xdr:nvSpPr>
        <xdr:cNvPr id="282" name="Прямоугольник: скругленные углы 16">
          <a:extLst>
            <a:ext uri="{FF2B5EF4-FFF2-40B4-BE49-F238E27FC236}">
              <a16:creationId xmlns:a16="http://schemas.microsoft.com/office/drawing/2014/main" id="{00000000-0008-0000-1600-00001A010000}"/>
            </a:ext>
          </a:extLst>
        </xdr:cNvPr>
        <xdr:cNvSpPr/>
      </xdr:nvSpPr>
      <xdr:spPr>
        <a:xfrm>
          <a:off x="1677960" y="2301840"/>
          <a:ext cx="1002600" cy="3186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271080</xdr:colOff>
      <xdr:row>6</xdr:row>
      <xdr:rowOff>100440</xdr:rowOff>
    </xdr:from>
    <xdr:to>
      <xdr:col>3</xdr:col>
      <xdr:colOff>1206720</xdr:colOff>
      <xdr:row>8</xdr:row>
      <xdr:rowOff>94680</xdr:rowOff>
    </xdr:to>
    <xdr:sp macro="" textlink="">
      <xdr:nvSpPr>
        <xdr:cNvPr id="283" name="Прямоугольник: скругленные углы 17">
          <a:extLst>
            <a:ext uri="{FF2B5EF4-FFF2-40B4-BE49-F238E27FC236}">
              <a16:creationId xmlns:a16="http://schemas.microsoft.com/office/drawing/2014/main" id="{00000000-0008-0000-1600-00001B010000}"/>
            </a:ext>
          </a:extLst>
        </xdr:cNvPr>
        <xdr:cNvSpPr/>
      </xdr:nvSpPr>
      <xdr:spPr>
        <a:xfrm>
          <a:off x="2847240" y="2300760"/>
          <a:ext cx="935640" cy="31788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216720</xdr:colOff>
      <xdr:row>2</xdr:row>
      <xdr:rowOff>47160</xdr:rowOff>
    </xdr:from>
    <xdr:to>
      <xdr:col>7</xdr:col>
      <xdr:colOff>70200</xdr:colOff>
      <xdr:row>2</xdr:row>
      <xdr:rowOff>2964240</xdr:rowOff>
    </xdr:to>
    <xdr:pic>
      <xdr:nvPicPr>
        <xdr:cNvPr id="284" name="Рисунок 7">
          <a:extLst>
            <a:ext uri="{FF2B5EF4-FFF2-40B4-BE49-F238E27FC236}">
              <a16:creationId xmlns:a16="http://schemas.microsoft.com/office/drawing/2014/main" id="{00000000-0008-0000-1700-00001C01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7360" y="371160"/>
          <a:ext cx="1646640" cy="291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272880</xdr:colOff>
      <xdr:row>2</xdr:row>
      <xdr:rowOff>96120</xdr:rowOff>
    </xdr:from>
    <xdr:to>
      <xdr:col>8</xdr:col>
      <xdr:colOff>29520</xdr:colOff>
      <xdr:row>2</xdr:row>
      <xdr:rowOff>2957760</xdr:rowOff>
    </xdr:to>
    <xdr:pic>
      <xdr:nvPicPr>
        <xdr:cNvPr id="285" name="Рисунок 8">
          <a:extLst>
            <a:ext uri="{FF2B5EF4-FFF2-40B4-BE49-F238E27FC236}">
              <a16:creationId xmlns:a16="http://schemas.microsoft.com/office/drawing/2014/main" id="{00000000-0008-0000-1700-00001D010000}"/>
            </a:ext>
          </a:extLst>
        </xdr:cNvPr>
        <xdr:cNvPicPr/>
      </xdr:nvPicPr>
      <xdr:blipFill>
        <a:blip xmlns:r="http://schemas.openxmlformats.org/officeDocument/2006/relationships" r:embed="rId2"/>
        <a:srcRect t="4224"/>
        <a:stretch/>
      </xdr:blipFill>
      <xdr:spPr>
        <a:xfrm>
          <a:off x="7186680" y="420120"/>
          <a:ext cx="1558080" cy="2861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19080</xdr:colOff>
      <xdr:row>2</xdr:row>
      <xdr:rowOff>35280</xdr:rowOff>
    </xdr:from>
    <xdr:to>
      <xdr:col>5</xdr:col>
      <xdr:colOff>112320</xdr:colOff>
      <xdr:row>2</xdr:row>
      <xdr:rowOff>2984400</xdr:rowOff>
    </xdr:to>
    <xdr:pic>
      <xdr:nvPicPr>
        <xdr:cNvPr id="286" name="Рисунок 2">
          <a:extLst>
            <a:ext uri="{FF2B5EF4-FFF2-40B4-BE49-F238E27FC236}">
              <a16:creationId xmlns:a16="http://schemas.microsoft.com/office/drawing/2014/main" id="{00000000-0008-0000-1700-00001E01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75320" y="359280"/>
          <a:ext cx="5057640" cy="2949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244080</xdr:colOff>
      <xdr:row>2</xdr:row>
      <xdr:rowOff>750600</xdr:rowOff>
    </xdr:from>
    <xdr:to>
      <xdr:col>11</xdr:col>
      <xdr:colOff>271800</xdr:colOff>
      <xdr:row>2</xdr:row>
      <xdr:rowOff>2723400</xdr:rowOff>
    </xdr:to>
    <xdr:pic>
      <xdr:nvPicPr>
        <xdr:cNvPr id="287" name="Рисунок 5">
          <a:extLst>
            <a:ext uri="{FF2B5EF4-FFF2-40B4-BE49-F238E27FC236}">
              <a16:creationId xmlns:a16="http://schemas.microsoft.com/office/drawing/2014/main" id="{00000000-0008-0000-1700-00001F010000}"/>
            </a:ext>
          </a:extLst>
        </xdr:cNvPr>
        <xdr:cNvPicPr/>
      </xdr:nvPicPr>
      <xdr:blipFill>
        <a:blip xmlns:r="http://schemas.openxmlformats.org/officeDocument/2006/relationships" r:embed="rId4"/>
        <a:srcRect l="5532"/>
        <a:stretch/>
      </xdr:blipFill>
      <xdr:spPr>
        <a:xfrm>
          <a:off x="8959320" y="1074600"/>
          <a:ext cx="2353320" cy="19728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10</xdr:col>
      <xdr:colOff>111600</xdr:colOff>
      <xdr:row>2</xdr:row>
      <xdr:rowOff>136080</xdr:rowOff>
    </xdr:from>
    <xdr:to>
      <xdr:col>11</xdr:col>
      <xdr:colOff>323280</xdr:colOff>
      <xdr:row>2</xdr:row>
      <xdr:rowOff>394920</xdr:rowOff>
    </xdr:to>
    <xdr:sp macro="" textlink="">
      <xdr:nvSpPr>
        <xdr:cNvPr id="288" name="TextBox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20010000}"/>
            </a:ext>
          </a:extLst>
        </xdr:cNvPr>
        <xdr:cNvSpPr/>
      </xdr:nvSpPr>
      <xdr:spPr>
        <a:xfrm>
          <a:off x="10392840" y="460080"/>
          <a:ext cx="97128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10</xdr:col>
      <xdr:colOff>117360</xdr:colOff>
      <xdr:row>2</xdr:row>
      <xdr:rowOff>91800</xdr:rowOff>
    </xdr:from>
    <xdr:to>
      <xdr:col>11</xdr:col>
      <xdr:colOff>323640</xdr:colOff>
      <xdr:row>2</xdr:row>
      <xdr:rowOff>412560</xdr:rowOff>
    </xdr:to>
    <xdr:sp macro="" textlink="">
      <xdr:nvSpPr>
        <xdr:cNvPr id="289" name="Прямоугольник: скругленные углы 11">
          <a:extLst>
            <a:ext uri="{FF2B5EF4-FFF2-40B4-BE49-F238E27FC236}">
              <a16:creationId xmlns:a16="http://schemas.microsoft.com/office/drawing/2014/main" id="{00000000-0008-0000-1700-000021010000}"/>
            </a:ext>
          </a:extLst>
        </xdr:cNvPr>
        <xdr:cNvSpPr/>
      </xdr:nvSpPr>
      <xdr:spPr>
        <a:xfrm>
          <a:off x="10398600" y="415800"/>
          <a:ext cx="965880" cy="32076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654480</xdr:colOff>
      <xdr:row>1</xdr:row>
      <xdr:rowOff>57240</xdr:rowOff>
    </xdr:from>
    <xdr:to>
      <xdr:col>19</xdr:col>
      <xdr:colOff>442800</xdr:colOff>
      <xdr:row>1</xdr:row>
      <xdr:rowOff>482040</xdr:rowOff>
    </xdr:to>
    <xdr:pic>
      <xdr:nvPicPr>
        <xdr:cNvPr id="36" name="Рисунок 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6524" t="20416" r="6347" b="21705"/>
        <a:stretch/>
      </xdr:blipFill>
      <xdr:spPr>
        <a:xfrm>
          <a:off x="14035680" y="200160"/>
          <a:ext cx="201852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467640</xdr:colOff>
      <xdr:row>7</xdr:row>
      <xdr:rowOff>32040</xdr:rowOff>
    </xdr:from>
    <xdr:to>
      <xdr:col>2</xdr:col>
      <xdr:colOff>358200</xdr:colOff>
      <xdr:row>8</xdr:row>
      <xdr:rowOff>100440</xdr:rowOff>
    </xdr:to>
    <xdr:sp macro="" textlink="">
      <xdr:nvSpPr>
        <xdr:cNvPr id="37" name="TextBox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623880" y="2737080"/>
          <a:ext cx="100224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562680</xdr:colOff>
      <xdr:row>7</xdr:row>
      <xdr:rowOff>33480</xdr:rowOff>
    </xdr:from>
    <xdr:to>
      <xdr:col>3</xdr:col>
      <xdr:colOff>452160</xdr:colOff>
      <xdr:row>8</xdr:row>
      <xdr:rowOff>102960</xdr:rowOff>
    </xdr:to>
    <xdr:sp macro="" textlink="">
      <xdr:nvSpPr>
        <xdr:cNvPr id="38" name="TextBox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1830600" y="2738520"/>
          <a:ext cx="90756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678960</xdr:colOff>
      <xdr:row>7</xdr:row>
      <xdr:rowOff>38880</xdr:rowOff>
    </xdr:from>
    <xdr:to>
      <xdr:col>5</xdr:col>
      <xdr:colOff>222480</xdr:colOff>
      <xdr:row>8</xdr:row>
      <xdr:rowOff>102600</xdr:rowOff>
    </xdr:to>
    <xdr:sp macro="" textlink="">
      <xdr:nvSpPr>
        <xdr:cNvPr id="39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964960" y="2743920"/>
          <a:ext cx="98424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473040</xdr:colOff>
      <xdr:row>6</xdr:row>
      <xdr:rowOff>138600</xdr:rowOff>
    </xdr:from>
    <xdr:to>
      <xdr:col>2</xdr:col>
      <xdr:colOff>358200</xdr:colOff>
      <xdr:row>8</xdr:row>
      <xdr:rowOff>117720</xdr:rowOff>
    </xdr:to>
    <xdr:sp macro="" textlink="">
      <xdr:nvSpPr>
        <xdr:cNvPr id="40" name="Прямоугольник: скругленные углы 1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629280" y="2700720"/>
          <a:ext cx="996840" cy="31248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510840</xdr:colOff>
      <xdr:row>7</xdr:row>
      <xdr:rowOff>720</xdr:rowOff>
    </xdr:from>
    <xdr:to>
      <xdr:col>3</xdr:col>
      <xdr:colOff>484920</xdr:colOff>
      <xdr:row>8</xdr:row>
      <xdr:rowOff>123480</xdr:rowOff>
    </xdr:to>
    <xdr:sp macro="" textlink="">
      <xdr:nvSpPr>
        <xdr:cNvPr id="41" name="Прямоугольник: скругленные углы 1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1778760" y="2705760"/>
          <a:ext cx="99216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651240</xdr:colOff>
      <xdr:row>7</xdr:row>
      <xdr:rowOff>4320</xdr:rowOff>
    </xdr:from>
    <xdr:to>
      <xdr:col>5</xdr:col>
      <xdr:colOff>218520</xdr:colOff>
      <xdr:row>8</xdr:row>
      <xdr:rowOff>121680</xdr:rowOff>
    </xdr:to>
    <xdr:sp macro="" textlink="">
      <xdr:nvSpPr>
        <xdr:cNvPr id="42" name="Прямоугольник: скругленные углы 15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937240" y="2709360"/>
          <a:ext cx="1008000" cy="3078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10440</xdr:colOff>
      <xdr:row>2</xdr:row>
      <xdr:rowOff>188280</xdr:rowOff>
    </xdr:from>
    <xdr:to>
      <xdr:col>13</xdr:col>
      <xdr:colOff>239760</xdr:colOff>
      <xdr:row>6</xdr:row>
      <xdr:rowOff>61920</xdr:rowOff>
    </xdr:to>
    <xdr:pic>
      <xdr:nvPicPr>
        <xdr:cNvPr id="43" name="Рисунок 16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rcRect l="17023" t="3696" r="16103" b="20161"/>
        <a:stretch/>
      </xdr:blipFill>
      <xdr:spPr>
        <a:xfrm>
          <a:off x="10330560" y="855000"/>
          <a:ext cx="1247040" cy="1769040"/>
        </a:xfrm>
        <a:prstGeom prst="rect">
          <a:avLst/>
        </a:prstGeom>
        <a:noFill/>
        <a:ln w="0">
          <a:noFill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14</xdr:col>
      <xdr:colOff>155160</xdr:colOff>
      <xdr:row>2</xdr:row>
      <xdr:rowOff>19080</xdr:rowOff>
    </xdr:from>
    <xdr:to>
      <xdr:col>17</xdr:col>
      <xdr:colOff>380160</xdr:colOff>
      <xdr:row>9</xdr:row>
      <xdr:rowOff>81360</xdr:rowOff>
    </xdr:to>
    <xdr:pic>
      <xdr:nvPicPr>
        <xdr:cNvPr id="44" name="Рисунок 18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contrast="-20000"/>
                  </a14:imgEffect>
                </a14:imgLayer>
              </a14:imgProps>
            </a:ext>
          </a:extLst>
        </a:blip>
        <a:srcRect l="19348" t="3191" r="15084" b="11853"/>
        <a:stretch/>
      </xdr:blipFill>
      <xdr:spPr>
        <a:xfrm>
          <a:off x="12283560" y="685800"/>
          <a:ext cx="1477800" cy="2481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17</xdr:col>
      <xdr:colOff>795960</xdr:colOff>
      <xdr:row>2</xdr:row>
      <xdr:rowOff>21960</xdr:rowOff>
    </xdr:from>
    <xdr:to>
      <xdr:col>19</xdr:col>
      <xdr:colOff>356400</xdr:colOff>
      <xdr:row>8</xdr:row>
      <xdr:rowOff>146880</xdr:rowOff>
    </xdr:to>
    <xdr:pic>
      <xdr:nvPicPr>
        <xdr:cNvPr id="45" name="Рисунок 20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contrast="-40000"/>
                  </a14:imgEffect>
                </a14:imgLayer>
              </a14:imgProps>
            </a:ext>
          </a:extLst>
        </a:blip>
        <a:srcRect l="12716" r="8913" b="17974"/>
        <a:stretch/>
      </xdr:blipFill>
      <xdr:spPr>
        <a:xfrm>
          <a:off x="14177160" y="688680"/>
          <a:ext cx="1790640" cy="2353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1105200</xdr:colOff>
      <xdr:row>2</xdr:row>
      <xdr:rowOff>20520</xdr:rowOff>
    </xdr:from>
    <xdr:to>
      <xdr:col>12</xdr:col>
      <xdr:colOff>313200</xdr:colOff>
      <xdr:row>9</xdr:row>
      <xdr:rowOff>39600</xdr:rowOff>
    </xdr:to>
    <xdr:pic>
      <xdr:nvPicPr>
        <xdr:cNvPr id="46" name="Рисунок 3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1"/>
        <a:srcRect l="1587" t="5291" r="4094" b="9050"/>
        <a:stretch/>
      </xdr:blipFill>
      <xdr:spPr>
        <a:xfrm>
          <a:off x="11244960" y="696960"/>
          <a:ext cx="2231280" cy="1847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803160</xdr:colOff>
      <xdr:row>2</xdr:row>
      <xdr:rowOff>82800</xdr:rowOff>
    </xdr:from>
    <xdr:to>
      <xdr:col>9</xdr:col>
      <xdr:colOff>853560</xdr:colOff>
      <xdr:row>9</xdr:row>
      <xdr:rowOff>96480</xdr:rowOff>
    </xdr:to>
    <xdr:pic>
      <xdr:nvPicPr>
        <xdr:cNvPr id="47" name="Рисунок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/>
      </xdr:nvPicPr>
      <xdr:blipFill>
        <a:blip xmlns:r="http://schemas.openxmlformats.org/officeDocument/2006/relationships" r:embed="rId2"/>
        <a:srcRect t="8267" b="2116"/>
        <a:stretch/>
      </xdr:blipFill>
      <xdr:spPr>
        <a:xfrm>
          <a:off x="9690120" y="759240"/>
          <a:ext cx="1303200" cy="1842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16</xdr:col>
      <xdr:colOff>90720</xdr:colOff>
      <xdr:row>2</xdr:row>
      <xdr:rowOff>294120</xdr:rowOff>
    </xdr:from>
    <xdr:to>
      <xdr:col>17</xdr:col>
      <xdr:colOff>541800</xdr:colOff>
      <xdr:row>7</xdr:row>
      <xdr:rowOff>121320</xdr:rowOff>
    </xdr:to>
    <xdr:pic>
      <xdr:nvPicPr>
        <xdr:cNvPr id="48" name="Рисунок 2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5131880" y="970560"/>
          <a:ext cx="1406880" cy="1274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163440</xdr:colOff>
      <xdr:row>2</xdr:row>
      <xdr:rowOff>298800</xdr:rowOff>
    </xdr:from>
    <xdr:to>
      <xdr:col>19</xdr:col>
      <xdr:colOff>607680</xdr:colOff>
      <xdr:row>7</xdr:row>
      <xdr:rowOff>109080</xdr:rowOff>
    </xdr:to>
    <xdr:pic>
      <xdr:nvPicPr>
        <xdr:cNvPr id="49" name="Рисунок 2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7045640" y="975240"/>
          <a:ext cx="1375560" cy="1257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41040</xdr:colOff>
      <xdr:row>1</xdr:row>
      <xdr:rowOff>54360</xdr:rowOff>
    </xdr:from>
    <xdr:to>
      <xdr:col>12</xdr:col>
      <xdr:colOff>275760</xdr:colOff>
      <xdr:row>1</xdr:row>
      <xdr:rowOff>479160</xdr:rowOff>
    </xdr:to>
    <xdr:pic>
      <xdr:nvPicPr>
        <xdr:cNvPr id="50" name="Рисунок 6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rcRect l="6524" t="20416" r="6347" b="21705"/>
        <a:stretch/>
      </xdr:blipFill>
      <xdr:spPr>
        <a:xfrm>
          <a:off x="11418480" y="197280"/>
          <a:ext cx="202032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419040</xdr:colOff>
      <xdr:row>59</xdr:row>
      <xdr:rowOff>107640</xdr:rowOff>
    </xdr:from>
    <xdr:to>
      <xdr:col>4</xdr:col>
      <xdr:colOff>907200</xdr:colOff>
      <xdr:row>72</xdr:row>
      <xdr:rowOff>140400</xdr:rowOff>
    </xdr:to>
    <xdr:pic>
      <xdr:nvPicPr>
        <xdr:cNvPr id="51" name="Рисунок 8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7"/>
        <a:srcRect l="11089" t="17249" r="27596" b="42876"/>
        <a:stretch/>
      </xdr:blipFill>
      <xdr:spPr>
        <a:xfrm>
          <a:off x="3284280" y="16909920"/>
          <a:ext cx="1717560" cy="2013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100080</xdr:colOff>
      <xdr:row>60</xdr:row>
      <xdr:rowOff>2160</xdr:rowOff>
    </xdr:from>
    <xdr:to>
      <xdr:col>7</xdr:col>
      <xdr:colOff>642240</xdr:colOff>
      <xdr:row>73</xdr:row>
      <xdr:rowOff>1800</xdr:rowOff>
    </xdr:to>
    <xdr:pic>
      <xdr:nvPicPr>
        <xdr:cNvPr id="52" name="Рисунок 9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/>
      </xdr:nvPicPr>
      <xdr:blipFill>
        <a:blip xmlns:r="http://schemas.openxmlformats.org/officeDocument/2006/relationships" r:embed="rId8"/>
        <a:srcRect l="5532" t="9812"/>
        <a:stretch/>
      </xdr:blipFill>
      <xdr:spPr>
        <a:xfrm>
          <a:off x="5956560" y="16956720"/>
          <a:ext cx="2828160" cy="1980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149760</xdr:colOff>
      <xdr:row>59</xdr:row>
      <xdr:rowOff>12960</xdr:rowOff>
    </xdr:from>
    <xdr:to>
      <xdr:col>2</xdr:col>
      <xdr:colOff>1260000</xdr:colOff>
      <xdr:row>72</xdr:row>
      <xdr:rowOff>141480</xdr:rowOff>
    </xdr:to>
    <xdr:pic>
      <xdr:nvPicPr>
        <xdr:cNvPr id="53" name="Рисунок 3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9"/>
        <a:srcRect t="5240" b="4392"/>
        <a:stretch/>
      </xdr:blipFill>
      <xdr:spPr>
        <a:xfrm>
          <a:off x="306000" y="16815240"/>
          <a:ext cx="2253240" cy="210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421560</xdr:colOff>
      <xdr:row>59</xdr:row>
      <xdr:rowOff>70200</xdr:rowOff>
    </xdr:from>
    <xdr:to>
      <xdr:col>9</xdr:col>
      <xdr:colOff>1104480</xdr:colOff>
      <xdr:row>72</xdr:row>
      <xdr:rowOff>111600</xdr:rowOff>
    </xdr:to>
    <xdr:pic>
      <xdr:nvPicPr>
        <xdr:cNvPr id="54" name="Рисунок 4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10"/>
        <a:srcRect t="7329" b="2013"/>
        <a:stretch/>
      </xdr:blipFill>
      <xdr:spPr>
        <a:xfrm>
          <a:off x="9308520" y="16872480"/>
          <a:ext cx="1935720" cy="2022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10</xdr:col>
      <xdr:colOff>76320</xdr:colOff>
      <xdr:row>60</xdr:row>
      <xdr:rowOff>142920</xdr:rowOff>
    </xdr:from>
    <xdr:to>
      <xdr:col>12</xdr:col>
      <xdr:colOff>347760</xdr:colOff>
      <xdr:row>70</xdr:row>
      <xdr:rowOff>75960</xdr:rowOff>
    </xdr:to>
    <xdr:pic>
      <xdr:nvPicPr>
        <xdr:cNvPr id="55" name="Рисунок 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/>
      </xdr:nvPicPr>
      <xdr:blipFill>
        <a:blip xmlns:r="http://schemas.openxmlformats.org/officeDocument/2006/relationships" r:embed="rId11"/>
        <a:srcRect l="4148" t="4315" r="5575" b="5919"/>
        <a:stretch/>
      </xdr:blipFill>
      <xdr:spPr>
        <a:xfrm>
          <a:off x="11453760" y="17097480"/>
          <a:ext cx="2057040" cy="145692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505440</xdr:colOff>
      <xdr:row>7</xdr:row>
      <xdr:rowOff>36360</xdr:rowOff>
    </xdr:from>
    <xdr:to>
      <xdr:col>2</xdr:col>
      <xdr:colOff>359280</xdr:colOff>
      <xdr:row>8</xdr:row>
      <xdr:rowOff>104760</xdr:rowOff>
    </xdr:to>
    <xdr:sp macro="" textlink="">
      <xdr:nvSpPr>
        <xdr:cNvPr id="56" name="TextBox 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661680" y="2160360"/>
          <a:ext cx="99684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564120</xdr:colOff>
      <xdr:row>7</xdr:row>
      <xdr:rowOff>38160</xdr:rowOff>
    </xdr:from>
    <xdr:to>
      <xdr:col>2</xdr:col>
      <xdr:colOff>1414800</xdr:colOff>
      <xdr:row>8</xdr:row>
      <xdr:rowOff>107640</xdr:rowOff>
    </xdr:to>
    <xdr:sp macro="" textlink="">
      <xdr:nvSpPr>
        <xdr:cNvPr id="57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1863360" y="2162160"/>
          <a:ext cx="85068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154080</xdr:colOff>
      <xdr:row>7</xdr:row>
      <xdr:rowOff>43200</xdr:rowOff>
    </xdr:from>
    <xdr:to>
      <xdr:col>3</xdr:col>
      <xdr:colOff>1065600</xdr:colOff>
      <xdr:row>8</xdr:row>
      <xdr:rowOff>106920</xdr:rowOff>
    </xdr:to>
    <xdr:sp macro="" textlink="">
      <xdr:nvSpPr>
        <xdr:cNvPr id="58" name="TextBox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3019320" y="2167200"/>
          <a:ext cx="91152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511200</xdr:colOff>
      <xdr:row>7</xdr:row>
      <xdr:rowOff>-360</xdr:rowOff>
    </xdr:from>
    <xdr:to>
      <xdr:col>2</xdr:col>
      <xdr:colOff>359640</xdr:colOff>
      <xdr:row>8</xdr:row>
      <xdr:rowOff>122400</xdr:rowOff>
    </xdr:to>
    <xdr:sp macro="" textlink="">
      <xdr:nvSpPr>
        <xdr:cNvPr id="59" name="Прямоугольник: скругленные углы 24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667440" y="2123640"/>
          <a:ext cx="99144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511920</xdr:colOff>
      <xdr:row>7</xdr:row>
      <xdr:rowOff>5400</xdr:rowOff>
    </xdr:from>
    <xdr:to>
      <xdr:col>2</xdr:col>
      <xdr:colOff>1447200</xdr:colOff>
      <xdr:row>8</xdr:row>
      <xdr:rowOff>128160</xdr:rowOff>
    </xdr:to>
    <xdr:sp macro="" textlink="">
      <xdr:nvSpPr>
        <xdr:cNvPr id="60" name="Прямоугольник: скругленные углы 2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1811160" y="2129400"/>
          <a:ext cx="93528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126360</xdr:colOff>
      <xdr:row>7</xdr:row>
      <xdr:rowOff>4680</xdr:rowOff>
    </xdr:from>
    <xdr:to>
      <xdr:col>3</xdr:col>
      <xdr:colOff>1061640</xdr:colOff>
      <xdr:row>8</xdr:row>
      <xdr:rowOff>126360</xdr:rowOff>
    </xdr:to>
    <xdr:sp macro="" textlink="">
      <xdr:nvSpPr>
        <xdr:cNvPr id="61" name="Прямоугольник: скругленные углы 29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2991600" y="2128680"/>
          <a:ext cx="935280" cy="3121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830160</xdr:colOff>
      <xdr:row>2</xdr:row>
      <xdr:rowOff>61200</xdr:rowOff>
    </xdr:from>
    <xdr:to>
      <xdr:col>11</xdr:col>
      <xdr:colOff>258120</xdr:colOff>
      <xdr:row>8</xdr:row>
      <xdr:rowOff>90360</xdr:rowOff>
    </xdr:to>
    <xdr:pic>
      <xdr:nvPicPr>
        <xdr:cNvPr id="62" name="Рисунок 3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/>
      </xdr:nvPicPr>
      <xdr:blipFill>
        <a:blip xmlns:r="http://schemas.openxmlformats.org/officeDocument/2006/relationships" r:embed="rId1"/>
        <a:srcRect l="19428" r="14572"/>
        <a:stretch/>
      </xdr:blipFill>
      <xdr:spPr>
        <a:xfrm>
          <a:off x="10335600" y="737640"/>
          <a:ext cx="1471320" cy="1962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816480</xdr:colOff>
      <xdr:row>1</xdr:row>
      <xdr:rowOff>33840</xdr:rowOff>
    </xdr:from>
    <xdr:to>
      <xdr:col>12</xdr:col>
      <xdr:colOff>217440</xdr:colOff>
      <xdr:row>1</xdr:row>
      <xdr:rowOff>496080</xdr:rowOff>
    </xdr:to>
    <xdr:pic>
      <xdr:nvPicPr>
        <xdr:cNvPr id="63" name="Рисунок 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6524" t="20416" r="6347" b="21705"/>
        <a:stretch/>
      </xdr:blipFill>
      <xdr:spPr>
        <a:xfrm>
          <a:off x="10321920" y="176760"/>
          <a:ext cx="2234880" cy="462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537480</xdr:colOff>
      <xdr:row>7</xdr:row>
      <xdr:rowOff>27000</xdr:rowOff>
    </xdr:from>
    <xdr:to>
      <xdr:col>2</xdr:col>
      <xdr:colOff>387360</xdr:colOff>
      <xdr:row>8</xdr:row>
      <xdr:rowOff>95400</xdr:rowOff>
    </xdr:to>
    <xdr:sp macro="" textlink="">
      <xdr:nvSpPr>
        <xdr:cNvPr id="64" name="TextBox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693720" y="2446200"/>
          <a:ext cx="992880" cy="259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591840</xdr:colOff>
      <xdr:row>7</xdr:row>
      <xdr:rowOff>28440</xdr:rowOff>
    </xdr:from>
    <xdr:to>
      <xdr:col>2</xdr:col>
      <xdr:colOff>1442520</xdr:colOff>
      <xdr:row>8</xdr:row>
      <xdr:rowOff>97920</xdr:rowOff>
    </xdr:to>
    <xdr:sp macro="" textlink="">
      <xdr:nvSpPr>
        <xdr:cNvPr id="65" name="TextBox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1891080" y="2447640"/>
          <a:ext cx="850680" cy="2602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4</xdr:col>
      <xdr:colOff>22680</xdr:colOff>
      <xdr:row>7</xdr:row>
      <xdr:rowOff>33840</xdr:rowOff>
    </xdr:from>
    <xdr:to>
      <xdr:col>4</xdr:col>
      <xdr:colOff>934200</xdr:colOff>
      <xdr:row>8</xdr:row>
      <xdr:rowOff>97560</xdr:rowOff>
    </xdr:to>
    <xdr:sp macro="" textlink="">
      <xdr:nvSpPr>
        <xdr:cNvPr id="66" name="TextBox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3068280" y="2453040"/>
          <a:ext cx="911520" cy="254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537480</xdr:colOff>
      <xdr:row>6</xdr:row>
      <xdr:rowOff>129240</xdr:rowOff>
    </xdr:from>
    <xdr:to>
      <xdr:col>2</xdr:col>
      <xdr:colOff>387360</xdr:colOff>
      <xdr:row>8</xdr:row>
      <xdr:rowOff>112680</xdr:rowOff>
    </xdr:to>
    <xdr:sp macro="" textlink="">
      <xdr:nvSpPr>
        <xdr:cNvPr id="67" name="Прямоугольник: скругленные углы 1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693720" y="2405880"/>
          <a:ext cx="992880" cy="3168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539640</xdr:colOff>
      <xdr:row>6</xdr:row>
      <xdr:rowOff>138600</xdr:rowOff>
    </xdr:from>
    <xdr:to>
      <xdr:col>2</xdr:col>
      <xdr:colOff>1474920</xdr:colOff>
      <xdr:row>8</xdr:row>
      <xdr:rowOff>118440</xdr:rowOff>
    </xdr:to>
    <xdr:sp macro="" textlink="">
      <xdr:nvSpPr>
        <xdr:cNvPr id="68" name="Прямоугольник: скругленные углы 18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1838880" y="2415240"/>
          <a:ext cx="93528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1641600</xdr:colOff>
      <xdr:row>6</xdr:row>
      <xdr:rowOff>137880</xdr:rowOff>
    </xdr:from>
    <xdr:to>
      <xdr:col>4</xdr:col>
      <xdr:colOff>930240</xdr:colOff>
      <xdr:row>8</xdr:row>
      <xdr:rowOff>116640</xdr:rowOff>
    </xdr:to>
    <xdr:sp macro="" textlink="">
      <xdr:nvSpPr>
        <xdr:cNvPr id="69" name="Прямоугольник: скругленные углы 19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2940840" y="2414520"/>
          <a:ext cx="1035000" cy="3121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383760</xdr:colOff>
      <xdr:row>2</xdr:row>
      <xdr:rowOff>41040</xdr:rowOff>
    </xdr:from>
    <xdr:to>
      <xdr:col>9</xdr:col>
      <xdr:colOff>538920</xdr:colOff>
      <xdr:row>8</xdr:row>
      <xdr:rowOff>174600</xdr:rowOff>
    </xdr:to>
    <xdr:pic>
      <xdr:nvPicPr>
        <xdr:cNvPr id="70" name="Рисунок 3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/>
      </xdr:nvPicPr>
      <xdr:blipFill>
        <a:blip xmlns:r="http://schemas.openxmlformats.org/officeDocument/2006/relationships" r:embed="rId1"/>
        <a:srcRect t="8255" b="4242"/>
        <a:stretch/>
      </xdr:blipFill>
      <xdr:spPr>
        <a:xfrm>
          <a:off x="9090360" y="707760"/>
          <a:ext cx="1384560" cy="187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615600</xdr:colOff>
      <xdr:row>2</xdr:row>
      <xdr:rowOff>82800</xdr:rowOff>
    </xdr:from>
    <xdr:to>
      <xdr:col>12</xdr:col>
      <xdr:colOff>383760</xdr:colOff>
      <xdr:row>8</xdr:row>
      <xdr:rowOff>155880</xdr:rowOff>
    </xdr:to>
    <xdr:pic>
      <xdr:nvPicPr>
        <xdr:cNvPr id="71" name="Рисунок 5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/>
      </xdr:nvPicPr>
      <xdr:blipFill>
        <a:blip xmlns:r="http://schemas.openxmlformats.org/officeDocument/2006/relationships" r:embed="rId2"/>
        <a:srcRect t="5298" b="10118"/>
        <a:stretch/>
      </xdr:blipFill>
      <xdr:spPr>
        <a:xfrm>
          <a:off x="10551600" y="749520"/>
          <a:ext cx="2288880" cy="1816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543600</xdr:colOff>
      <xdr:row>1</xdr:row>
      <xdr:rowOff>33840</xdr:rowOff>
    </xdr:from>
    <xdr:to>
      <xdr:col>12</xdr:col>
      <xdr:colOff>67320</xdr:colOff>
      <xdr:row>1</xdr:row>
      <xdr:rowOff>458640</xdr:rowOff>
    </xdr:to>
    <xdr:pic>
      <xdr:nvPicPr>
        <xdr:cNvPr id="72" name="Рисунок 3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6524" t="20416" r="6347" b="21705"/>
        <a:stretch/>
      </xdr:blipFill>
      <xdr:spPr>
        <a:xfrm>
          <a:off x="10479600" y="176760"/>
          <a:ext cx="204444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1057320</xdr:colOff>
      <xdr:row>31</xdr:row>
      <xdr:rowOff>1080</xdr:rowOff>
    </xdr:from>
    <xdr:to>
      <xdr:col>6</xdr:col>
      <xdr:colOff>398880</xdr:colOff>
      <xdr:row>44</xdr:row>
      <xdr:rowOff>33840</xdr:rowOff>
    </xdr:to>
    <xdr:pic>
      <xdr:nvPicPr>
        <xdr:cNvPr id="73" name="Рисунок 4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/>
      </xdr:nvPicPr>
      <xdr:blipFill>
        <a:blip xmlns:r="http://schemas.openxmlformats.org/officeDocument/2006/relationships" r:embed="rId5"/>
        <a:srcRect l="11089" t="17249" r="27596" b="42876"/>
        <a:stretch/>
      </xdr:blipFill>
      <xdr:spPr>
        <a:xfrm>
          <a:off x="4330080" y="8706960"/>
          <a:ext cx="1768680" cy="2137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271080</xdr:colOff>
      <xdr:row>30</xdr:row>
      <xdr:rowOff>114840</xdr:rowOff>
    </xdr:from>
    <xdr:to>
      <xdr:col>3</xdr:col>
      <xdr:colOff>304920</xdr:colOff>
      <xdr:row>44</xdr:row>
      <xdr:rowOff>81360</xdr:rowOff>
    </xdr:to>
    <xdr:pic>
      <xdr:nvPicPr>
        <xdr:cNvPr id="74" name="Рисунок 8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/>
      </xdr:nvPicPr>
      <xdr:blipFill>
        <a:blip xmlns:r="http://schemas.openxmlformats.org/officeDocument/2006/relationships" r:embed="rId6"/>
        <a:srcRect t="5240" b="4392"/>
        <a:stretch/>
      </xdr:blipFill>
      <xdr:spPr>
        <a:xfrm>
          <a:off x="427320" y="8658720"/>
          <a:ext cx="2320560" cy="2233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236520</xdr:colOff>
      <xdr:row>31</xdr:row>
      <xdr:rowOff>1080</xdr:rowOff>
    </xdr:from>
    <xdr:to>
      <xdr:col>8</xdr:col>
      <xdr:colOff>1084320</xdr:colOff>
      <xdr:row>44</xdr:row>
      <xdr:rowOff>51840</xdr:rowOff>
    </xdr:to>
    <xdr:pic>
      <xdr:nvPicPr>
        <xdr:cNvPr id="75" name="Рисунок 9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/>
      </xdr:nvPicPr>
      <xdr:blipFill>
        <a:blip xmlns:r="http://schemas.openxmlformats.org/officeDocument/2006/relationships" r:embed="rId7"/>
        <a:srcRect t="7329" b="2013"/>
        <a:stretch/>
      </xdr:blipFill>
      <xdr:spPr>
        <a:xfrm>
          <a:off x="7854480" y="8706960"/>
          <a:ext cx="1936440" cy="2155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412560</xdr:colOff>
      <xdr:row>32</xdr:row>
      <xdr:rowOff>125640</xdr:rowOff>
    </xdr:from>
    <xdr:to>
      <xdr:col>11</xdr:col>
      <xdr:colOff>722520</xdr:colOff>
      <xdr:row>42</xdr:row>
      <xdr:rowOff>65880</xdr:rowOff>
    </xdr:to>
    <xdr:pic>
      <xdr:nvPicPr>
        <xdr:cNvPr id="76" name="Рисунок 10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/>
      </xdr:nvPicPr>
      <xdr:blipFill>
        <a:blip xmlns:r="http://schemas.openxmlformats.org/officeDocument/2006/relationships" r:embed="rId8"/>
        <a:srcRect l="4148" t="4315" r="5575" b="5919"/>
        <a:stretch/>
      </xdr:blipFill>
      <xdr:spPr>
        <a:xfrm>
          <a:off x="10348560" y="8993520"/>
          <a:ext cx="2040120" cy="155952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505800</xdr:colOff>
      <xdr:row>6</xdr:row>
      <xdr:rowOff>132480</xdr:rowOff>
    </xdr:from>
    <xdr:to>
      <xdr:col>2</xdr:col>
      <xdr:colOff>307800</xdr:colOff>
      <xdr:row>8</xdr:row>
      <xdr:rowOff>56520</xdr:rowOff>
    </xdr:to>
    <xdr:sp macro="" textlink="">
      <xdr:nvSpPr>
        <xdr:cNvPr id="77" name="TextBox 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/>
      </xdr:nvSpPr>
      <xdr:spPr>
        <a:xfrm>
          <a:off x="662040" y="2208960"/>
          <a:ext cx="1000080" cy="257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512280</xdr:colOff>
      <xdr:row>6</xdr:row>
      <xdr:rowOff>134280</xdr:rowOff>
    </xdr:from>
    <xdr:to>
      <xdr:col>3</xdr:col>
      <xdr:colOff>331560</xdr:colOff>
      <xdr:row>8</xdr:row>
      <xdr:rowOff>59400</xdr:rowOff>
    </xdr:to>
    <xdr:sp macro="" textlink="">
      <xdr:nvSpPr>
        <xdr:cNvPr id="7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>
          <a:off x="1866600" y="2210760"/>
          <a:ext cx="907920" cy="258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558360</xdr:colOff>
      <xdr:row>6</xdr:row>
      <xdr:rowOff>139320</xdr:rowOff>
    </xdr:from>
    <xdr:to>
      <xdr:col>4</xdr:col>
      <xdr:colOff>688320</xdr:colOff>
      <xdr:row>8</xdr:row>
      <xdr:rowOff>58320</xdr:rowOff>
    </xdr:to>
    <xdr:sp macro="" textlink="">
      <xdr:nvSpPr>
        <xdr:cNvPr id="7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/>
      </xdr:nvSpPr>
      <xdr:spPr>
        <a:xfrm>
          <a:off x="3001320" y="2215800"/>
          <a:ext cx="959760" cy="252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511560</xdr:colOff>
      <xdr:row>6</xdr:row>
      <xdr:rowOff>91800</xdr:rowOff>
    </xdr:from>
    <xdr:to>
      <xdr:col>2</xdr:col>
      <xdr:colOff>308160</xdr:colOff>
      <xdr:row>8</xdr:row>
      <xdr:rowOff>73800</xdr:rowOff>
    </xdr:to>
    <xdr:sp macro="" textlink="">
      <xdr:nvSpPr>
        <xdr:cNvPr id="80" name="Прямоугольник: скругленные углы 1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/>
      </xdr:nvSpPr>
      <xdr:spPr>
        <a:xfrm>
          <a:off x="667800" y="2168280"/>
          <a:ext cx="994680" cy="31536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460080</xdr:colOff>
      <xdr:row>6</xdr:row>
      <xdr:rowOff>101520</xdr:rowOff>
    </xdr:from>
    <xdr:to>
      <xdr:col>3</xdr:col>
      <xdr:colOff>363960</xdr:colOff>
      <xdr:row>8</xdr:row>
      <xdr:rowOff>79920</xdr:rowOff>
    </xdr:to>
    <xdr:sp macro="" textlink="">
      <xdr:nvSpPr>
        <xdr:cNvPr id="81" name="Прямоугольник: скругленные углы 2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/>
      </xdr:nvSpPr>
      <xdr:spPr>
        <a:xfrm>
          <a:off x="1814400" y="2178000"/>
          <a:ext cx="992520" cy="31176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530640</xdr:colOff>
      <xdr:row>6</xdr:row>
      <xdr:rowOff>100440</xdr:rowOff>
    </xdr:from>
    <xdr:to>
      <xdr:col>4</xdr:col>
      <xdr:colOff>684360</xdr:colOff>
      <xdr:row>8</xdr:row>
      <xdr:rowOff>77760</xdr:rowOff>
    </xdr:to>
    <xdr:sp macro="" textlink="">
      <xdr:nvSpPr>
        <xdr:cNvPr id="82" name="Прямоугольник: скругленные углы 2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/>
      </xdr:nvSpPr>
      <xdr:spPr>
        <a:xfrm>
          <a:off x="2973600" y="2176920"/>
          <a:ext cx="983520" cy="31068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4680</xdr:colOff>
      <xdr:row>2</xdr:row>
      <xdr:rowOff>119160</xdr:rowOff>
    </xdr:from>
    <xdr:to>
      <xdr:col>9</xdr:col>
      <xdr:colOff>165240</xdr:colOff>
      <xdr:row>8</xdr:row>
      <xdr:rowOff>43560</xdr:rowOff>
    </xdr:to>
    <xdr:pic>
      <xdr:nvPicPr>
        <xdr:cNvPr id="83" name="Рисунок 47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PicPr/>
      </xdr:nvPicPr>
      <xdr:blipFill>
        <a:blip xmlns:r="http://schemas.openxmlformats.org/officeDocument/2006/relationships" r:embed="rId1"/>
        <a:srcRect l="18511" t="10581" r="14349" b="8532"/>
        <a:stretch/>
      </xdr:blipFill>
      <xdr:spPr>
        <a:xfrm>
          <a:off x="9345600" y="785880"/>
          <a:ext cx="1288080" cy="1477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642960</xdr:colOff>
      <xdr:row>2</xdr:row>
      <xdr:rowOff>6120</xdr:rowOff>
    </xdr:from>
    <xdr:to>
      <xdr:col>12</xdr:col>
      <xdr:colOff>182160</xdr:colOff>
      <xdr:row>8</xdr:row>
      <xdr:rowOff>88200</xdr:rowOff>
    </xdr:to>
    <xdr:pic>
      <xdr:nvPicPr>
        <xdr:cNvPr id="84" name="Рисунок 5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/>
      </xdr:nvPicPr>
      <xdr:blipFill>
        <a:blip xmlns:r="http://schemas.openxmlformats.org/officeDocument/2006/relationships" r:embed="rId2"/>
        <a:srcRect l="9804" t="12694" r="11981" b="14333"/>
        <a:stretch/>
      </xdr:blipFill>
      <xdr:spPr>
        <a:xfrm>
          <a:off x="11111400" y="672840"/>
          <a:ext cx="1927080" cy="1634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586080</xdr:colOff>
      <xdr:row>1</xdr:row>
      <xdr:rowOff>36720</xdr:rowOff>
    </xdr:from>
    <xdr:to>
      <xdr:col>12</xdr:col>
      <xdr:colOff>235440</xdr:colOff>
      <xdr:row>1</xdr:row>
      <xdr:rowOff>461520</xdr:rowOff>
    </xdr:to>
    <xdr:pic>
      <xdr:nvPicPr>
        <xdr:cNvPr id="85" name="Рисунок 8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6524" t="20416" r="6347" b="21705"/>
        <a:stretch/>
      </xdr:blipFill>
      <xdr:spPr>
        <a:xfrm>
          <a:off x="11054520" y="169920"/>
          <a:ext cx="203724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16</xdr:col>
      <xdr:colOff>32040</xdr:colOff>
      <xdr:row>2</xdr:row>
      <xdr:rowOff>191520</xdr:rowOff>
    </xdr:from>
    <xdr:to>
      <xdr:col>17</xdr:col>
      <xdr:colOff>655200</xdr:colOff>
      <xdr:row>7</xdr:row>
      <xdr:rowOff>99000</xdr:rowOff>
    </xdr:to>
    <xdr:pic>
      <xdr:nvPicPr>
        <xdr:cNvPr id="86" name="Рисунок 9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5204600" y="858240"/>
          <a:ext cx="1413720" cy="1269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46080</xdr:colOff>
      <xdr:row>2</xdr:row>
      <xdr:rowOff>233280</xdr:rowOff>
    </xdr:from>
    <xdr:to>
      <xdr:col>19</xdr:col>
      <xdr:colOff>641520</xdr:colOff>
      <xdr:row>7</xdr:row>
      <xdr:rowOff>123480</xdr:rowOff>
    </xdr:to>
    <xdr:pic>
      <xdr:nvPicPr>
        <xdr:cNvPr id="87" name="Рисунок 10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815960" y="900000"/>
          <a:ext cx="1370520" cy="1252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63360</xdr:colOff>
      <xdr:row>55</xdr:row>
      <xdr:rowOff>157320</xdr:rowOff>
    </xdr:from>
    <xdr:to>
      <xdr:col>7</xdr:col>
      <xdr:colOff>612720</xdr:colOff>
      <xdr:row>64</xdr:row>
      <xdr:rowOff>24120</xdr:rowOff>
    </xdr:to>
    <xdr:pic>
      <xdr:nvPicPr>
        <xdr:cNvPr id="88" name="Рисунок 13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/>
      </xdr:nvPicPr>
      <xdr:blipFill>
        <a:blip xmlns:r="http://schemas.openxmlformats.org/officeDocument/2006/relationships" r:embed="rId7"/>
        <a:srcRect t="5240" b="4392"/>
        <a:stretch/>
      </xdr:blipFill>
      <xdr:spPr>
        <a:xfrm>
          <a:off x="6937920" y="15749640"/>
          <a:ext cx="2185560" cy="214092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498240</xdr:colOff>
      <xdr:row>6</xdr:row>
      <xdr:rowOff>135720</xdr:rowOff>
    </xdr:from>
    <xdr:to>
      <xdr:col>2</xdr:col>
      <xdr:colOff>315360</xdr:colOff>
      <xdr:row>8</xdr:row>
      <xdr:rowOff>57600</xdr:rowOff>
    </xdr:to>
    <xdr:sp macro="" textlink="">
      <xdr:nvSpPr>
        <xdr:cNvPr id="89" name="TextBox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/>
      </xdr:nvSpPr>
      <xdr:spPr>
        <a:xfrm>
          <a:off x="654480" y="2021760"/>
          <a:ext cx="999360" cy="255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520200</xdr:colOff>
      <xdr:row>6</xdr:row>
      <xdr:rowOff>137520</xdr:rowOff>
    </xdr:from>
    <xdr:to>
      <xdr:col>2</xdr:col>
      <xdr:colOff>1370880</xdr:colOff>
      <xdr:row>8</xdr:row>
      <xdr:rowOff>60480</xdr:rowOff>
    </xdr:to>
    <xdr:sp macro="" textlink="">
      <xdr:nvSpPr>
        <xdr:cNvPr id="90" name="TextBox 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/>
      </xdr:nvSpPr>
      <xdr:spPr>
        <a:xfrm>
          <a:off x="1858680" y="2023560"/>
          <a:ext cx="850680" cy="256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1597680</xdr:colOff>
      <xdr:row>7</xdr:row>
      <xdr:rowOff>-360</xdr:rowOff>
    </xdr:from>
    <xdr:to>
      <xdr:col>3</xdr:col>
      <xdr:colOff>582120</xdr:colOff>
      <xdr:row>8</xdr:row>
      <xdr:rowOff>59760</xdr:rowOff>
    </xdr:to>
    <xdr:sp macro="" textlink="">
      <xdr:nvSpPr>
        <xdr:cNvPr id="91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/>
      </xdr:nvSpPr>
      <xdr:spPr>
        <a:xfrm>
          <a:off x="2936160" y="2028600"/>
          <a:ext cx="1012680" cy="250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503640</xdr:colOff>
      <xdr:row>6</xdr:row>
      <xdr:rowOff>95400</xdr:rowOff>
    </xdr:from>
    <xdr:to>
      <xdr:col>2</xdr:col>
      <xdr:colOff>315720</xdr:colOff>
      <xdr:row>8</xdr:row>
      <xdr:rowOff>75240</xdr:rowOff>
    </xdr:to>
    <xdr:sp macro="" textlink="">
      <xdr:nvSpPr>
        <xdr:cNvPr id="92" name="Прямоугольник: скругленные углы 18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/>
      </xdr:nvSpPr>
      <xdr:spPr>
        <a:xfrm>
          <a:off x="659880" y="1981440"/>
          <a:ext cx="99432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468000</xdr:colOff>
      <xdr:row>6</xdr:row>
      <xdr:rowOff>104760</xdr:rowOff>
    </xdr:from>
    <xdr:to>
      <xdr:col>2</xdr:col>
      <xdr:colOff>1403280</xdr:colOff>
      <xdr:row>8</xdr:row>
      <xdr:rowOff>81000</xdr:rowOff>
    </xdr:to>
    <xdr:sp macro="" textlink="">
      <xdr:nvSpPr>
        <xdr:cNvPr id="93" name="Прямоугольник: скругленные углы 19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/>
      </xdr:nvSpPr>
      <xdr:spPr>
        <a:xfrm>
          <a:off x="1806480" y="1990800"/>
          <a:ext cx="935280" cy="3096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1569960</xdr:colOff>
      <xdr:row>6</xdr:row>
      <xdr:rowOff>104040</xdr:rowOff>
    </xdr:from>
    <xdr:to>
      <xdr:col>3</xdr:col>
      <xdr:colOff>578160</xdr:colOff>
      <xdr:row>8</xdr:row>
      <xdr:rowOff>79200</xdr:rowOff>
    </xdr:to>
    <xdr:sp macro="" textlink="">
      <xdr:nvSpPr>
        <xdr:cNvPr id="94" name="Прямоугольник: скругленные углы 20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/>
      </xdr:nvSpPr>
      <xdr:spPr>
        <a:xfrm>
          <a:off x="2908440" y="1990080"/>
          <a:ext cx="1036440" cy="3085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72720</xdr:colOff>
      <xdr:row>2</xdr:row>
      <xdr:rowOff>47160</xdr:rowOff>
    </xdr:from>
    <xdr:to>
      <xdr:col>8</xdr:col>
      <xdr:colOff>139680</xdr:colOff>
      <xdr:row>8</xdr:row>
      <xdr:rowOff>165960</xdr:rowOff>
    </xdr:to>
    <xdr:pic>
      <xdr:nvPicPr>
        <xdr:cNvPr id="95" name="Рисунок 3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/>
      </xdr:nvPicPr>
      <xdr:blipFill>
        <a:blip xmlns:r="http://schemas.openxmlformats.org/officeDocument/2006/relationships" r:embed="rId1"/>
        <a:srcRect t="3181" b="2772"/>
        <a:stretch/>
      </xdr:blipFill>
      <xdr:spPr>
        <a:xfrm>
          <a:off x="8121960" y="713880"/>
          <a:ext cx="1296360" cy="188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601560</xdr:colOff>
      <xdr:row>2</xdr:row>
      <xdr:rowOff>33480</xdr:rowOff>
    </xdr:from>
    <xdr:to>
      <xdr:col>11</xdr:col>
      <xdr:colOff>190440</xdr:colOff>
      <xdr:row>8</xdr:row>
      <xdr:rowOff>119520</xdr:rowOff>
    </xdr:to>
    <xdr:pic>
      <xdr:nvPicPr>
        <xdr:cNvPr id="96" name="Рисунок 5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/>
      </xdr:nvPicPr>
      <xdr:blipFill>
        <a:blip xmlns:r="http://schemas.openxmlformats.org/officeDocument/2006/relationships" r:embed="rId2"/>
        <a:srcRect l="6797" t="4888" r="5444" b="11557"/>
        <a:stretch/>
      </xdr:blipFill>
      <xdr:spPr>
        <a:xfrm>
          <a:off x="9880200" y="700200"/>
          <a:ext cx="2055240" cy="1848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605520</xdr:colOff>
      <xdr:row>1</xdr:row>
      <xdr:rowOff>40680</xdr:rowOff>
    </xdr:from>
    <xdr:to>
      <xdr:col>11</xdr:col>
      <xdr:colOff>185760</xdr:colOff>
      <xdr:row>1</xdr:row>
      <xdr:rowOff>465480</xdr:rowOff>
    </xdr:to>
    <xdr:pic>
      <xdr:nvPicPr>
        <xdr:cNvPr id="97" name="Рисунок 3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rcRect l="6524" t="20416" r="6347" b="21705"/>
        <a:stretch/>
      </xdr:blipFill>
      <xdr:spPr>
        <a:xfrm>
          <a:off x="9884160" y="183600"/>
          <a:ext cx="204660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42480</xdr:colOff>
      <xdr:row>2</xdr:row>
      <xdr:rowOff>380880</xdr:rowOff>
    </xdr:from>
    <xdr:to>
      <xdr:col>16</xdr:col>
      <xdr:colOff>600840</xdr:colOff>
      <xdr:row>7</xdr:row>
      <xdr:rowOff>10440</xdr:rowOff>
    </xdr:to>
    <xdr:pic>
      <xdr:nvPicPr>
        <xdr:cNvPr id="98" name="Рисунок 4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119920" y="1047600"/>
          <a:ext cx="1317600" cy="1201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17</xdr:col>
      <xdr:colOff>13680</xdr:colOff>
      <xdr:row>2</xdr:row>
      <xdr:rowOff>379440</xdr:rowOff>
    </xdr:from>
    <xdr:to>
      <xdr:col>18</xdr:col>
      <xdr:colOff>577800</xdr:colOff>
      <xdr:row>7</xdr:row>
      <xdr:rowOff>17280</xdr:rowOff>
    </xdr:to>
    <xdr:pic>
      <xdr:nvPicPr>
        <xdr:cNvPr id="99" name="Рисунок 7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5594840" y="1046160"/>
          <a:ext cx="1308240" cy="120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312840</xdr:colOff>
      <xdr:row>56</xdr:row>
      <xdr:rowOff>0</xdr:rowOff>
    </xdr:from>
    <xdr:to>
      <xdr:col>4</xdr:col>
      <xdr:colOff>286920</xdr:colOff>
      <xdr:row>69</xdr:row>
      <xdr:rowOff>31320</xdr:rowOff>
    </xdr:to>
    <xdr:pic>
      <xdr:nvPicPr>
        <xdr:cNvPr id="100" name="Рисунок 18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/>
      </xdr:nvPicPr>
      <xdr:blipFill>
        <a:blip xmlns:r="http://schemas.openxmlformats.org/officeDocument/2006/relationships" r:embed="rId7"/>
        <a:srcRect l="11089" t="17249" r="27596" b="42876"/>
        <a:stretch/>
      </xdr:blipFill>
      <xdr:spPr>
        <a:xfrm>
          <a:off x="3452760" y="15382800"/>
          <a:ext cx="1751760" cy="2136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84600</xdr:colOff>
      <xdr:row>55</xdr:row>
      <xdr:rowOff>136800</xdr:rowOff>
    </xdr:from>
    <xdr:to>
      <xdr:col>2</xdr:col>
      <xdr:colOff>1166400</xdr:colOff>
      <xdr:row>69</xdr:row>
      <xdr:rowOff>103320</xdr:rowOff>
    </xdr:to>
    <xdr:pic>
      <xdr:nvPicPr>
        <xdr:cNvPr id="101" name="Рисунок 2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/>
      </xdr:nvPicPr>
      <xdr:blipFill>
        <a:blip xmlns:r="http://schemas.openxmlformats.org/officeDocument/2006/relationships" r:embed="rId8"/>
        <a:srcRect t="5240" b="4392"/>
        <a:stretch/>
      </xdr:blipFill>
      <xdr:spPr>
        <a:xfrm>
          <a:off x="240840" y="15357600"/>
          <a:ext cx="2264040" cy="2233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877680</xdr:colOff>
      <xdr:row>55</xdr:row>
      <xdr:rowOff>129240</xdr:rowOff>
    </xdr:from>
    <xdr:to>
      <xdr:col>7</xdr:col>
      <xdr:colOff>403920</xdr:colOff>
      <xdr:row>68</xdr:row>
      <xdr:rowOff>153000</xdr:rowOff>
    </xdr:to>
    <xdr:pic>
      <xdr:nvPicPr>
        <xdr:cNvPr id="102" name="Рисунок 23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/>
      </xdr:nvPicPr>
      <xdr:blipFill>
        <a:blip xmlns:r="http://schemas.openxmlformats.org/officeDocument/2006/relationships" r:embed="rId9"/>
        <a:srcRect t="7329" b="2013"/>
        <a:stretch/>
      </xdr:blipFill>
      <xdr:spPr>
        <a:xfrm>
          <a:off x="6444720" y="15350040"/>
          <a:ext cx="2008440" cy="2129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265320</xdr:colOff>
      <xdr:row>57</xdr:row>
      <xdr:rowOff>13680</xdr:rowOff>
    </xdr:from>
    <xdr:to>
      <xdr:col>10</xdr:col>
      <xdr:colOff>637200</xdr:colOff>
      <xdr:row>66</xdr:row>
      <xdr:rowOff>96480</xdr:rowOff>
    </xdr:to>
    <xdr:pic>
      <xdr:nvPicPr>
        <xdr:cNvPr id="103" name="Рисунок 24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/>
      </xdr:nvPicPr>
      <xdr:blipFill>
        <a:blip xmlns:r="http://schemas.openxmlformats.org/officeDocument/2006/relationships" r:embed="rId10"/>
        <a:srcRect l="4148" t="4315" r="5575" b="5919"/>
        <a:stretch/>
      </xdr:blipFill>
      <xdr:spPr>
        <a:xfrm>
          <a:off x="9543960" y="15558480"/>
          <a:ext cx="2047680" cy="154008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503640</xdr:colOff>
      <xdr:row>7</xdr:row>
      <xdr:rowOff>20160</xdr:rowOff>
    </xdr:from>
    <xdr:to>
      <xdr:col>2</xdr:col>
      <xdr:colOff>326160</xdr:colOff>
      <xdr:row>8</xdr:row>
      <xdr:rowOff>88560</xdr:rowOff>
    </xdr:to>
    <xdr:sp macro="" textlink="">
      <xdr:nvSpPr>
        <xdr:cNvPr id="104" name="TextBox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/>
      </xdr:nvSpPr>
      <xdr:spPr>
        <a:xfrm>
          <a:off x="659880" y="2258640"/>
          <a:ext cx="1004760" cy="2588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530640</xdr:colOff>
      <xdr:row>7</xdr:row>
      <xdr:rowOff>21600</xdr:rowOff>
    </xdr:from>
    <xdr:to>
      <xdr:col>2</xdr:col>
      <xdr:colOff>1381320</xdr:colOff>
      <xdr:row>8</xdr:row>
      <xdr:rowOff>91080</xdr:rowOff>
    </xdr:to>
    <xdr:sp macro="" textlink="">
      <xdr:nvSpPr>
        <xdr:cNvPr id="105" name="TextBox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/>
      </xdr:nvSpPr>
      <xdr:spPr>
        <a:xfrm>
          <a:off x="1869120" y="2260080"/>
          <a:ext cx="850680" cy="25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1608120</xdr:colOff>
      <xdr:row>7</xdr:row>
      <xdr:rowOff>27000</xdr:rowOff>
    </xdr:from>
    <xdr:to>
      <xdr:col>3</xdr:col>
      <xdr:colOff>811800</xdr:colOff>
      <xdr:row>8</xdr:row>
      <xdr:rowOff>90720</xdr:rowOff>
    </xdr:to>
    <xdr:sp macro="" textlink="">
      <xdr:nvSpPr>
        <xdr:cNvPr id="106" name="TextBox 1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/>
      </xdr:nvSpPr>
      <xdr:spPr>
        <a:xfrm>
          <a:off x="2946600" y="2265480"/>
          <a:ext cx="1005120" cy="254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509040</xdr:colOff>
      <xdr:row>6</xdr:row>
      <xdr:rowOff>122400</xdr:rowOff>
    </xdr:from>
    <xdr:to>
      <xdr:col>2</xdr:col>
      <xdr:colOff>326160</xdr:colOff>
      <xdr:row>8</xdr:row>
      <xdr:rowOff>105840</xdr:rowOff>
    </xdr:to>
    <xdr:sp macro="" textlink="">
      <xdr:nvSpPr>
        <xdr:cNvPr id="107" name="Прямоугольник: скругленные углы 17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/>
      </xdr:nvSpPr>
      <xdr:spPr>
        <a:xfrm>
          <a:off x="665280" y="2217960"/>
          <a:ext cx="999360" cy="3168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478440</xdr:colOff>
      <xdr:row>6</xdr:row>
      <xdr:rowOff>132120</xdr:rowOff>
    </xdr:from>
    <xdr:to>
      <xdr:col>2</xdr:col>
      <xdr:colOff>1413720</xdr:colOff>
      <xdr:row>8</xdr:row>
      <xdr:rowOff>111960</xdr:rowOff>
    </xdr:to>
    <xdr:sp macro="" textlink="">
      <xdr:nvSpPr>
        <xdr:cNvPr id="108" name="Прямоугольник: скругленные углы 19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/>
      </xdr:nvSpPr>
      <xdr:spPr>
        <a:xfrm>
          <a:off x="1816920" y="2227680"/>
          <a:ext cx="935280" cy="31320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1580400</xdr:colOff>
      <xdr:row>6</xdr:row>
      <xdr:rowOff>131040</xdr:rowOff>
    </xdr:from>
    <xdr:to>
      <xdr:col>3</xdr:col>
      <xdr:colOff>807840</xdr:colOff>
      <xdr:row>8</xdr:row>
      <xdr:rowOff>109800</xdr:rowOff>
    </xdr:to>
    <xdr:sp macro="" textlink="">
      <xdr:nvSpPr>
        <xdr:cNvPr id="109" name="Прямоугольник: скругленные углы 20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/>
      </xdr:nvSpPr>
      <xdr:spPr>
        <a:xfrm>
          <a:off x="2918880" y="2226600"/>
          <a:ext cx="1028880" cy="31212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408600</xdr:colOff>
      <xdr:row>2</xdr:row>
      <xdr:rowOff>66600</xdr:rowOff>
    </xdr:from>
    <xdr:to>
      <xdr:col>16</xdr:col>
      <xdr:colOff>579960</xdr:colOff>
      <xdr:row>8</xdr:row>
      <xdr:rowOff>159120</xdr:rowOff>
    </xdr:to>
    <xdr:pic>
      <xdr:nvPicPr>
        <xdr:cNvPr id="110" name="Рисунок 5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PicPr/>
      </xdr:nvPicPr>
      <xdr:blipFill>
        <a:blip xmlns:r="http://schemas.openxmlformats.org/officeDocument/2006/relationships" r:embed="rId1"/>
        <a:srcRect t="10782" b="13746"/>
        <a:stretch/>
      </xdr:blipFill>
      <xdr:spPr>
        <a:xfrm rot="10800000">
          <a:off x="11096280" y="723960"/>
          <a:ext cx="2035080" cy="1540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21</xdr:col>
      <xdr:colOff>444960</xdr:colOff>
      <xdr:row>2</xdr:row>
      <xdr:rowOff>33120</xdr:rowOff>
    </xdr:from>
    <xdr:to>
      <xdr:col>25</xdr:col>
      <xdr:colOff>157320</xdr:colOff>
      <xdr:row>8</xdr:row>
      <xdr:rowOff>157320</xdr:rowOff>
    </xdr:to>
    <xdr:pic>
      <xdr:nvPicPr>
        <xdr:cNvPr id="111" name="Рисунок 2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PicPr/>
      </xdr:nvPicPr>
      <xdr:blipFill>
        <a:blip xmlns:r="http://schemas.openxmlformats.org/officeDocument/2006/relationships" r:embed="rId2"/>
        <a:srcRect l="30526" t="26205" r="29417" b="34994"/>
        <a:stretch/>
      </xdr:blipFill>
      <xdr:spPr>
        <a:xfrm>
          <a:off x="16644960" y="690480"/>
          <a:ext cx="3188520" cy="1571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651960</xdr:colOff>
      <xdr:row>2</xdr:row>
      <xdr:rowOff>33480</xdr:rowOff>
    </xdr:from>
    <xdr:to>
      <xdr:col>13</xdr:col>
      <xdr:colOff>944280</xdr:colOff>
      <xdr:row>9</xdr:row>
      <xdr:rowOff>86040</xdr:rowOff>
    </xdr:to>
    <xdr:pic>
      <xdr:nvPicPr>
        <xdr:cNvPr id="112" name="Рисунок 3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PicPr/>
      </xdr:nvPicPr>
      <xdr:blipFill>
        <a:blip xmlns:r="http://schemas.openxmlformats.org/officeDocument/2006/relationships" r:embed="rId3"/>
        <a:srcRect l="13753" t="3694" r="10654" b="6943"/>
        <a:stretch/>
      </xdr:blipFill>
      <xdr:spPr>
        <a:xfrm rot="10800000">
          <a:off x="9068760" y="690840"/>
          <a:ext cx="1521720" cy="1690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875160</xdr:colOff>
      <xdr:row>1</xdr:row>
      <xdr:rowOff>57960</xdr:rowOff>
    </xdr:from>
    <xdr:to>
      <xdr:col>17</xdr:col>
      <xdr:colOff>277920</xdr:colOff>
      <xdr:row>1</xdr:row>
      <xdr:rowOff>482760</xdr:rowOff>
    </xdr:to>
    <xdr:pic>
      <xdr:nvPicPr>
        <xdr:cNvPr id="113" name="Рисунок 4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rcRect l="6524" t="20416" r="6347" b="21705"/>
        <a:stretch/>
      </xdr:blipFill>
      <xdr:spPr>
        <a:xfrm>
          <a:off x="11562840" y="191160"/>
          <a:ext cx="2057040" cy="424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19</xdr:col>
      <xdr:colOff>704160</xdr:colOff>
      <xdr:row>2</xdr:row>
      <xdr:rowOff>190440</xdr:rowOff>
    </xdr:from>
    <xdr:to>
      <xdr:col>20</xdr:col>
      <xdr:colOff>423000</xdr:colOff>
      <xdr:row>9</xdr:row>
      <xdr:rowOff>12960</xdr:rowOff>
    </xdr:to>
    <xdr:pic>
      <xdr:nvPicPr>
        <xdr:cNvPr id="114" name="Рисунок 2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4695920" y="847800"/>
          <a:ext cx="759960" cy="1460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29</xdr:col>
      <xdr:colOff>82440</xdr:colOff>
      <xdr:row>2</xdr:row>
      <xdr:rowOff>120240</xdr:rowOff>
    </xdr:from>
    <xdr:to>
      <xdr:col>30</xdr:col>
      <xdr:colOff>663840</xdr:colOff>
      <xdr:row>7</xdr:row>
      <xdr:rowOff>93600</xdr:rowOff>
    </xdr:to>
    <xdr:pic>
      <xdr:nvPicPr>
        <xdr:cNvPr id="115" name="Рисунок 10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21817080" y="777600"/>
          <a:ext cx="1411560" cy="1278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31</xdr:col>
      <xdr:colOff>122040</xdr:colOff>
      <xdr:row>2</xdr:row>
      <xdr:rowOff>124920</xdr:rowOff>
    </xdr:from>
    <xdr:to>
      <xdr:col>32</xdr:col>
      <xdr:colOff>535680</xdr:colOff>
      <xdr:row>7</xdr:row>
      <xdr:rowOff>81000</xdr:rowOff>
    </xdr:to>
    <xdr:pic>
      <xdr:nvPicPr>
        <xdr:cNvPr id="116" name="Рисунок 11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23493240" y="782280"/>
          <a:ext cx="1384560" cy="1260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480240</xdr:colOff>
      <xdr:row>64</xdr:row>
      <xdr:rowOff>76320</xdr:rowOff>
    </xdr:from>
    <xdr:to>
      <xdr:col>8</xdr:col>
      <xdr:colOff>525240</xdr:colOff>
      <xdr:row>72</xdr:row>
      <xdr:rowOff>215280</xdr:rowOff>
    </xdr:to>
    <xdr:pic>
      <xdr:nvPicPr>
        <xdr:cNvPr id="117" name="Рисунок 12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PicPr/>
      </xdr:nvPicPr>
      <xdr:blipFill>
        <a:blip xmlns:r="http://schemas.openxmlformats.org/officeDocument/2006/relationships" r:embed="rId9"/>
        <a:srcRect t="5240" b="4392"/>
        <a:stretch/>
      </xdr:blipFill>
      <xdr:spPr>
        <a:xfrm>
          <a:off x="6665760" y="17554680"/>
          <a:ext cx="2276280" cy="22536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</xdr:col>
      <xdr:colOff>476280</xdr:colOff>
      <xdr:row>7</xdr:row>
      <xdr:rowOff>18720</xdr:rowOff>
    </xdr:from>
    <xdr:to>
      <xdr:col>2</xdr:col>
      <xdr:colOff>366840</xdr:colOff>
      <xdr:row>8</xdr:row>
      <xdr:rowOff>131040</xdr:rowOff>
    </xdr:to>
    <xdr:sp macro="" textlink="">
      <xdr:nvSpPr>
        <xdr:cNvPr id="118" name="TextBox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/>
      </xdr:nvSpPr>
      <xdr:spPr>
        <a:xfrm>
          <a:off x="617400" y="1980720"/>
          <a:ext cx="1002240" cy="255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Содержание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2</xdr:col>
      <xdr:colOff>571680</xdr:colOff>
      <xdr:row>7</xdr:row>
      <xdr:rowOff>20160</xdr:rowOff>
    </xdr:from>
    <xdr:to>
      <xdr:col>2</xdr:col>
      <xdr:colOff>1422360</xdr:colOff>
      <xdr:row>8</xdr:row>
      <xdr:rowOff>133920</xdr:rowOff>
    </xdr:to>
    <xdr:sp macro="" textlink="">
      <xdr:nvSpPr>
        <xdr:cNvPr id="119" name="TextBox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/>
      </xdr:nvSpPr>
      <xdr:spPr>
        <a:xfrm>
          <a:off x="1824480" y="1982160"/>
          <a:ext cx="850680" cy="2566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Каталог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3</xdr:col>
      <xdr:colOff>198000</xdr:colOff>
      <xdr:row>7</xdr:row>
      <xdr:rowOff>25560</xdr:rowOff>
    </xdr:from>
    <xdr:to>
      <xdr:col>4</xdr:col>
      <xdr:colOff>193680</xdr:colOff>
      <xdr:row>8</xdr:row>
      <xdr:rowOff>133200</xdr:rowOff>
    </xdr:to>
    <xdr:sp macro="" textlink="">
      <xdr:nvSpPr>
        <xdr:cNvPr id="120" name="TextBox 2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/>
      </xdr:nvSpPr>
      <xdr:spPr>
        <a:xfrm>
          <a:off x="2985480" y="1987560"/>
          <a:ext cx="966600" cy="250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ru-RU" sz="1100" b="0" u="none" strike="noStrike">
              <a:solidFill>
                <a:srgbClr val="0000FF"/>
              </a:solidFill>
              <a:effectLst/>
              <a:uFillTx/>
              <a:latin typeface="Calibri"/>
            </a:rPr>
            <a:t>Эл. магазин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>
    <xdr:from>
      <xdr:col>1</xdr:col>
      <xdr:colOff>481680</xdr:colOff>
      <xdr:row>6</xdr:row>
      <xdr:rowOff>109800</xdr:rowOff>
    </xdr:from>
    <xdr:to>
      <xdr:col>2</xdr:col>
      <xdr:colOff>366840</xdr:colOff>
      <xdr:row>8</xdr:row>
      <xdr:rowOff>148320</xdr:rowOff>
    </xdr:to>
    <xdr:sp macro="" textlink="">
      <xdr:nvSpPr>
        <xdr:cNvPr id="121" name="Прямоугольник: скругленные углы 22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/>
      </xdr:nvSpPr>
      <xdr:spPr>
        <a:xfrm>
          <a:off x="622800" y="1938600"/>
          <a:ext cx="996840" cy="31464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519480</xdr:colOff>
      <xdr:row>6</xdr:row>
      <xdr:rowOff>119520</xdr:rowOff>
    </xdr:from>
    <xdr:to>
      <xdr:col>3</xdr:col>
      <xdr:colOff>3960</xdr:colOff>
      <xdr:row>8</xdr:row>
      <xdr:rowOff>154440</xdr:rowOff>
    </xdr:to>
    <xdr:sp macro="" textlink="">
      <xdr:nvSpPr>
        <xdr:cNvPr id="122" name="Прямоугольник: скругленные углы 23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/>
      </xdr:nvSpPr>
      <xdr:spPr>
        <a:xfrm>
          <a:off x="1772280" y="1948320"/>
          <a:ext cx="1019160" cy="31104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170640</xdr:colOff>
      <xdr:row>6</xdr:row>
      <xdr:rowOff>118440</xdr:rowOff>
    </xdr:from>
    <xdr:to>
      <xdr:col>4</xdr:col>
      <xdr:colOff>190080</xdr:colOff>
      <xdr:row>8</xdr:row>
      <xdr:rowOff>152280</xdr:rowOff>
    </xdr:to>
    <xdr:sp macro="" textlink="">
      <xdr:nvSpPr>
        <xdr:cNvPr id="123" name="Прямоугольник: скругленные углы 24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/>
      </xdr:nvSpPr>
      <xdr:spPr>
        <a:xfrm>
          <a:off x="2958120" y="1947240"/>
          <a:ext cx="990360" cy="309960"/>
        </a:xfrm>
        <a:prstGeom prst="roundRect">
          <a:avLst>
            <a:gd name="adj" fmla="val 16667"/>
          </a:avLst>
        </a:prstGeom>
        <a:noFill/>
        <a:ln w="9525">
          <a:solidFill>
            <a:srgbClr val="FFFFFF">
              <a:lumMod val="85000"/>
            </a:srgbClr>
          </a:solidFill>
          <a:round/>
        </a:ln>
        <a:effectLst>
          <a:outerShdw blurRad="50760" dist="37674" dir="2700000" algn="tl" rotWithShape="0">
            <a:srgbClr val="000000">
              <a:alpha val="4000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68" displayName="Таблица68" ref="A1:S514" totalsRowShown="0">
  <autoFilter ref="A1:S514" xr:uid="{00000000-0009-0000-0100-000001000000}"/>
  <tableColumns count="19">
    <tableColumn id="1" xr3:uid="{00000000-0010-0000-0000-000001000000}" name="Столбец3"/>
    <tableColumn id="2" xr3:uid="{00000000-0010-0000-0000-000002000000}" name="Наименование "/>
    <tableColumn id="3" xr3:uid="{00000000-0010-0000-0000-000003000000}" name="Полное  наименование"/>
    <tableColumn id="4" xr3:uid="{00000000-0010-0000-0000-000004000000}" name="Группа"/>
    <tableColumn id="5" xr3:uid="{00000000-0010-0000-0000-000005000000}" name="Тип 2"/>
    <tableColumn id="6" xr3:uid="{00000000-0010-0000-0000-000006000000}" name="Исполнение/_x000a_модификация "/>
    <tableColumn id="7" xr3:uid="{00000000-0010-0000-0000-000007000000}" name="DN"/>
    <tableColumn id="8" xr3:uid="{00000000-0010-0000-0000-000008000000}" name="МРД,_x000a_бар изб."/>
    <tableColumn id="9" xr3:uid="{00000000-0010-0000-0000-000009000000}" name="Рабочая температура, °С"/>
    <tableColumn id="10" xr3:uid="{00000000-0010-0000-0000-00000A000000}" name="Рабочая среда"/>
    <tableColumn id="11" xr3:uid="{00000000-0010-0000-0000-00000B000000}" name="Присоединение "/>
    <tableColumn id="12" xr3:uid="{00000000-0010-0000-0000-00000C000000}" name="Описание"/>
    <tableColumn id="13" xr3:uid="{00000000-0010-0000-0000-00000D000000}" name="Цена, KZT_x000a_без НДС"/>
    <tableColumn id="14" xr3:uid="{00000000-0010-0000-0000-00000E000000}" name="Цена, KZT_x000a_с НДС 16%"/>
    <tableColumn id="15" xr3:uid="{00000000-0010-0000-0000-00000F000000}" name="Группа скидок "/>
    <tableColumn id="16" xr3:uid="{00000000-0010-0000-0000-000010000000}" name="Примечание "/>
    <tableColumn id="17" xr3:uid="{00000000-0010-0000-0000-000011000000}" name="СКЛАД"/>
    <tableColumn id="18" xr3:uid="{00000000-0010-0000-0000-000012000000}" name="Столбец1"/>
    <tableColumn id="19" xr3:uid="{00000000-0010-0000-0000-000013000000}" name="Столбец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idan.ru/search/analogs" TargetMode="External"/><Relationship Id="rId2" Type="http://schemas.openxmlformats.org/officeDocument/2006/relationships/hyperlink" Target="https://community.ridan.ru/" TargetMode="External"/><Relationship Id="rId1" Type="http://schemas.openxmlformats.org/officeDocument/2006/relationships/hyperlink" Target="https://ridan.group/Cooling/Katalog%20Klapany%20i%20komponenty%20dlya%20promyshlennyh%20sistem%20holodosnabzheniya%202024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4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64"/>
  <sheetViews>
    <sheetView showGridLines="0" zoomScale="70" zoomScaleNormal="70" workbookViewId="0">
      <selection activeCell="AG35" sqref="AG35"/>
    </sheetView>
  </sheetViews>
  <sheetFormatPr defaultColWidth="8.6328125" defaultRowHeight="12.75" customHeight="1"/>
  <cols>
    <col min="1" max="1" width="7.1796875" customWidth="1"/>
    <col min="2" max="2" width="2.1796875" customWidth="1"/>
    <col min="3" max="3" width="2" customWidth="1"/>
    <col min="4" max="4" width="6.7265625" customWidth="1"/>
    <col min="11" max="11" width="11.453125" customWidth="1"/>
    <col min="14" max="14" width="10.1796875" customWidth="1"/>
    <col min="15" max="15" width="2.1796875" style="15" customWidth="1"/>
    <col min="16" max="16" width="2.1796875" customWidth="1"/>
    <col min="17" max="17" width="7.1796875" customWidth="1"/>
    <col min="18" max="19" width="2.1796875" customWidth="1"/>
    <col min="28" max="28" width="11.7265625" customWidth="1"/>
    <col min="29" max="29" width="9.1796875" customWidth="1"/>
    <col min="30" max="30" width="13.7265625" customWidth="1"/>
    <col min="31" max="32" width="2.1796875" customWidth="1"/>
  </cols>
  <sheetData>
    <row r="1" spans="2:32" ht="11.25" customHeight="1"/>
    <row r="2" spans="2:32" ht="11.25" customHeight="1"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  <c r="Q2" s="15"/>
      <c r="R2" s="16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8"/>
    </row>
    <row r="3" spans="2:32" ht="21" customHeight="1">
      <c r="B3" s="19"/>
      <c r="C3" s="20"/>
      <c r="D3" s="14" t="s">
        <v>0</v>
      </c>
      <c r="E3" s="14"/>
      <c r="F3" s="14"/>
      <c r="G3" s="14"/>
      <c r="H3" s="14"/>
      <c r="I3" s="14"/>
      <c r="J3" s="14"/>
      <c r="K3" s="14"/>
      <c r="L3" s="21"/>
      <c r="M3" s="22"/>
      <c r="N3" s="23"/>
      <c r="O3" s="23"/>
      <c r="P3" s="24"/>
      <c r="Q3" s="25"/>
      <c r="R3" s="26"/>
      <c r="S3" s="20"/>
      <c r="T3" s="13"/>
      <c r="U3" s="13"/>
      <c r="V3" s="13"/>
      <c r="W3" s="13"/>
      <c r="X3" s="13"/>
      <c r="Y3" s="13"/>
      <c r="Z3" s="13"/>
      <c r="AA3" s="13"/>
      <c r="AB3" s="21"/>
      <c r="AC3" s="22"/>
      <c r="AD3" s="23"/>
      <c r="AE3" s="23"/>
      <c r="AF3" s="27"/>
    </row>
    <row r="4" spans="2:32" ht="12.75" customHeight="1">
      <c r="B4" s="19"/>
      <c r="C4" s="20"/>
      <c r="D4" s="14"/>
      <c r="E4" s="14"/>
      <c r="F4" s="14"/>
      <c r="G4" s="14"/>
      <c r="H4" s="14"/>
      <c r="I4" s="14"/>
      <c r="J4" s="14"/>
      <c r="K4" s="14"/>
      <c r="L4" s="21"/>
      <c r="M4" s="22"/>
      <c r="N4" s="23"/>
      <c r="O4" s="23"/>
      <c r="P4" s="24"/>
      <c r="Q4" s="25"/>
      <c r="R4" s="26"/>
      <c r="S4" s="20"/>
      <c r="T4" s="13"/>
      <c r="U4" s="13"/>
      <c r="V4" s="13"/>
      <c r="W4" s="13"/>
      <c r="X4" s="13"/>
      <c r="Y4" s="13"/>
      <c r="Z4" s="13"/>
      <c r="AA4" s="13"/>
      <c r="AB4" s="21"/>
      <c r="AC4" s="22"/>
      <c r="AD4" s="23"/>
      <c r="AE4" s="23"/>
      <c r="AF4" s="27"/>
    </row>
    <row r="5" spans="2:32" ht="12.75" customHeight="1">
      <c r="B5" s="19"/>
      <c r="C5" s="20"/>
      <c r="D5" s="14"/>
      <c r="E5" s="14"/>
      <c r="F5" s="14"/>
      <c r="G5" s="14"/>
      <c r="H5" s="14"/>
      <c r="I5" s="14"/>
      <c r="J5" s="14"/>
      <c r="K5" s="14"/>
      <c r="L5" s="21"/>
      <c r="M5" s="22"/>
      <c r="N5" s="23"/>
      <c r="O5" s="23"/>
      <c r="P5" s="24"/>
      <c r="Q5" s="25"/>
      <c r="R5" s="26"/>
      <c r="S5" s="20"/>
      <c r="T5" s="13"/>
      <c r="U5" s="13"/>
      <c r="V5" s="13"/>
      <c r="W5" s="13"/>
      <c r="X5" s="13"/>
      <c r="Y5" s="13"/>
      <c r="Z5" s="13"/>
      <c r="AA5" s="13"/>
      <c r="AB5" s="21"/>
      <c r="AC5" s="22"/>
      <c r="AD5" s="23"/>
      <c r="AE5" s="23"/>
      <c r="AF5" s="27"/>
    </row>
    <row r="6" spans="2:32" ht="11.25" customHeight="1">
      <c r="B6" s="19"/>
      <c r="C6" s="1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  <c r="Q6" s="30"/>
      <c r="R6" s="31"/>
      <c r="S6" s="30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32"/>
    </row>
    <row r="7" spans="2:32" ht="21" customHeight="1">
      <c r="B7" s="19"/>
      <c r="C7" s="15"/>
      <c r="D7" s="33" t="s">
        <v>1</v>
      </c>
      <c r="E7" s="33"/>
      <c r="F7" s="33"/>
      <c r="G7" s="28"/>
      <c r="H7" s="28"/>
      <c r="I7" s="28"/>
      <c r="J7" s="28"/>
      <c r="K7" s="28"/>
      <c r="L7" s="28"/>
      <c r="M7" s="28"/>
      <c r="N7" s="28"/>
      <c r="O7" s="28"/>
      <c r="P7" s="29"/>
      <c r="Q7" s="30"/>
      <c r="R7" s="31"/>
      <c r="S7" s="30"/>
      <c r="T7" s="34" t="s">
        <v>2</v>
      </c>
      <c r="U7" s="34"/>
      <c r="V7" s="34"/>
      <c r="W7" s="35"/>
      <c r="X7" s="35"/>
      <c r="Y7" s="35"/>
      <c r="Z7" s="35"/>
      <c r="AA7" s="35"/>
      <c r="AB7" s="35"/>
      <c r="AC7" s="35"/>
      <c r="AD7" s="35"/>
      <c r="AE7" s="35"/>
      <c r="AF7" s="32"/>
    </row>
    <row r="8" spans="2:32" ht="11.25" customHeight="1">
      <c r="B8" s="19"/>
      <c r="C8" s="1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30"/>
      <c r="R8" s="31"/>
      <c r="S8" s="30"/>
      <c r="T8" s="33"/>
      <c r="U8" s="33"/>
      <c r="V8" s="33"/>
      <c r="W8" s="15"/>
      <c r="X8" s="15"/>
      <c r="Y8" s="15"/>
      <c r="Z8" s="15"/>
      <c r="AA8" s="15"/>
      <c r="AB8" s="15"/>
      <c r="AC8" s="15"/>
      <c r="AD8" s="15"/>
      <c r="AE8" s="15"/>
      <c r="AF8" s="32"/>
    </row>
    <row r="9" spans="2:32" ht="18.75" customHeight="1">
      <c r="B9" s="19"/>
      <c r="C9" s="36"/>
      <c r="D9" s="37" t="s">
        <v>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29"/>
      <c r="Q9" s="30"/>
      <c r="R9" s="31"/>
      <c r="S9" s="30"/>
      <c r="T9" s="12" t="s">
        <v>4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32"/>
    </row>
    <row r="10" spans="2:32" ht="18.75" customHeight="1">
      <c r="B10" s="19"/>
      <c r="C10" s="15"/>
      <c r="D10" s="38"/>
      <c r="E10" s="11" t="s">
        <v>5</v>
      </c>
      <c r="F10" s="11"/>
      <c r="G10" s="11"/>
      <c r="H10" s="11"/>
      <c r="I10" s="11"/>
      <c r="J10" s="11"/>
      <c r="K10" s="11"/>
      <c r="L10" s="11"/>
      <c r="M10" s="11"/>
      <c r="N10" s="39" t="s">
        <v>6</v>
      </c>
      <c r="O10" s="38"/>
      <c r="P10" s="29"/>
      <c r="Q10" s="30"/>
      <c r="R10" s="31"/>
      <c r="S10" s="30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32"/>
    </row>
    <row r="11" spans="2:32" ht="11.25" customHeight="1">
      <c r="B11" s="19"/>
      <c r="C11" s="1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30"/>
      <c r="R11" s="31"/>
      <c r="S11" s="30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32"/>
    </row>
    <row r="12" spans="2:32" ht="18.75" customHeight="1">
      <c r="B12" s="19"/>
      <c r="C12" s="36"/>
      <c r="D12" s="37" t="s">
        <v>7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40"/>
      <c r="Q12" s="41"/>
      <c r="R12" s="42"/>
      <c r="S12" s="37"/>
      <c r="T12" s="10" t="s">
        <v>8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32"/>
    </row>
    <row r="13" spans="2:32" ht="18.75" customHeight="1">
      <c r="B13" s="19"/>
      <c r="C13" s="15"/>
      <c r="D13" s="38"/>
      <c r="E13" s="11" t="s">
        <v>9</v>
      </c>
      <c r="F13" s="11"/>
      <c r="G13" s="11"/>
      <c r="H13" s="11"/>
      <c r="I13" s="11"/>
      <c r="J13" s="11"/>
      <c r="K13" s="11"/>
      <c r="L13" s="11"/>
      <c r="M13" s="11"/>
      <c r="N13" s="39" t="s">
        <v>6</v>
      </c>
      <c r="O13" s="38"/>
      <c r="P13" s="40"/>
      <c r="Q13" s="41"/>
      <c r="R13" s="42"/>
      <c r="S13" s="41"/>
      <c r="T13" s="12" t="s">
        <v>10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32"/>
    </row>
    <row r="14" spans="2:32" ht="18.75" customHeight="1">
      <c r="B14" s="19"/>
      <c r="C14" s="15"/>
      <c r="D14" s="38"/>
      <c r="E14" s="11" t="s">
        <v>11</v>
      </c>
      <c r="F14" s="11"/>
      <c r="G14" s="11"/>
      <c r="H14" s="11"/>
      <c r="I14" s="11"/>
      <c r="J14" s="11"/>
      <c r="K14" s="11"/>
      <c r="L14" s="11"/>
      <c r="M14" s="11"/>
      <c r="N14" s="39" t="s">
        <v>6</v>
      </c>
      <c r="O14" s="38"/>
      <c r="P14" s="40"/>
      <c r="Q14" s="41"/>
      <c r="R14" s="42"/>
      <c r="S14" s="4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32"/>
    </row>
    <row r="15" spans="2:32" ht="18.75" customHeight="1">
      <c r="B15" s="19"/>
      <c r="C15" s="15"/>
      <c r="D15" s="38"/>
      <c r="E15" s="11" t="s">
        <v>12</v>
      </c>
      <c r="F15" s="11"/>
      <c r="G15" s="11"/>
      <c r="H15" s="11"/>
      <c r="I15" s="11"/>
      <c r="J15" s="11"/>
      <c r="K15" s="11"/>
      <c r="L15" s="11"/>
      <c r="M15" s="11"/>
      <c r="N15" s="39" t="s">
        <v>6</v>
      </c>
      <c r="O15" s="38"/>
      <c r="P15" s="40"/>
      <c r="Q15" s="41"/>
      <c r="R15" s="42"/>
      <c r="S15" s="4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32"/>
    </row>
    <row r="16" spans="2:32" ht="11.25" customHeight="1">
      <c r="B16" s="19"/>
      <c r="C16" s="15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40"/>
      <c r="Q16" s="41"/>
      <c r="R16" s="42"/>
      <c r="S16" s="41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32"/>
    </row>
    <row r="17" spans="2:32" ht="18.75" customHeight="1">
      <c r="B17" s="19"/>
      <c r="C17" s="36"/>
      <c r="D17" s="37" t="s">
        <v>13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40"/>
      <c r="Q17" s="41"/>
      <c r="R17" s="42"/>
      <c r="S17" s="4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32"/>
    </row>
    <row r="18" spans="2:32" ht="18.75" customHeight="1">
      <c r="B18" s="19"/>
      <c r="C18" s="15"/>
      <c r="D18" s="38"/>
      <c r="E18" s="11" t="s">
        <v>14</v>
      </c>
      <c r="F18" s="11"/>
      <c r="G18" s="11"/>
      <c r="H18" s="11"/>
      <c r="I18" s="11"/>
      <c r="J18" s="11"/>
      <c r="K18" s="11"/>
      <c r="L18" s="11"/>
      <c r="M18" s="11"/>
      <c r="N18" s="39" t="s">
        <v>6</v>
      </c>
      <c r="O18" s="38"/>
      <c r="P18" s="40"/>
      <c r="Q18" s="41"/>
      <c r="R18" s="42"/>
      <c r="S18" s="4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32"/>
    </row>
    <row r="19" spans="2:32" ht="11.25" customHeight="1">
      <c r="B19" s="19"/>
      <c r="C19" s="15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40"/>
      <c r="Q19" s="41"/>
      <c r="R19" s="42"/>
      <c r="S19" s="4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32"/>
    </row>
    <row r="20" spans="2:32" ht="18.75" customHeight="1">
      <c r="B20" s="19"/>
      <c r="C20" s="36"/>
      <c r="D20" s="37" t="s">
        <v>15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40"/>
      <c r="Q20" s="41"/>
      <c r="R20" s="42"/>
      <c r="S20" s="4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32"/>
    </row>
    <row r="21" spans="2:32" ht="18.75" customHeight="1">
      <c r="B21" s="19"/>
      <c r="C21" s="15"/>
      <c r="D21" s="38"/>
      <c r="E21" s="11" t="s">
        <v>16</v>
      </c>
      <c r="F21" s="11"/>
      <c r="G21" s="11"/>
      <c r="H21" s="11"/>
      <c r="I21" s="11"/>
      <c r="J21" s="11"/>
      <c r="K21" s="11"/>
      <c r="L21" s="11"/>
      <c r="M21" s="11"/>
      <c r="N21" s="39" t="s">
        <v>6</v>
      </c>
      <c r="O21" s="38"/>
      <c r="P21" s="40"/>
      <c r="Q21" s="41"/>
      <c r="R21" s="42"/>
      <c r="S21" s="4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32"/>
    </row>
    <row r="22" spans="2:32" ht="18.75" customHeight="1">
      <c r="B22" s="19"/>
      <c r="C22" s="15"/>
      <c r="D22" s="38"/>
      <c r="E22" s="11" t="s">
        <v>17</v>
      </c>
      <c r="F22" s="11"/>
      <c r="G22" s="11"/>
      <c r="H22" s="11"/>
      <c r="I22" s="11"/>
      <c r="J22" s="11"/>
      <c r="K22" s="11"/>
      <c r="L22" s="11"/>
      <c r="M22" s="11"/>
      <c r="N22" s="39" t="s">
        <v>6</v>
      </c>
      <c r="O22" s="38"/>
      <c r="P22" s="40"/>
      <c r="Q22" s="41"/>
      <c r="R22" s="42"/>
      <c r="S22" s="4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32"/>
    </row>
    <row r="23" spans="2:32" ht="11.25" customHeight="1">
      <c r="B23" s="19"/>
      <c r="C23" s="15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40"/>
      <c r="Q23" s="41"/>
      <c r="R23" s="42"/>
      <c r="S23" s="4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32"/>
    </row>
    <row r="24" spans="2:32" ht="18.75" customHeight="1">
      <c r="B24" s="19"/>
      <c r="C24" s="36"/>
      <c r="D24" s="37" t="s">
        <v>18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40"/>
      <c r="Q24" s="41"/>
      <c r="R24" s="42"/>
      <c r="S24" s="4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32"/>
    </row>
    <row r="25" spans="2:32" ht="18.75" customHeight="1">
      <c r="B25" s="19"/>
      <c r="C25" s="15"/>
      <c r="D25" s="38"/>
      <c r="E25" s="11" t="s">
        <v>19</v>
      </c>
      <c r="F25" s="11"/>
      <c r="G25" s="11"/>
      <c r="H25" s="11"/>
      <c r="I25" s="11"/>
      <c r="J25" s="11"/>
      <c r="K25" s="11"/>
      <c r="L25" s="11"/>
      <c r="M25" s="11"/>
      <c r="N25" s="39" t="s">
        <v>6</v>
      </c>
      <c r="O25" s="38"/>
      <c r="P25" s="40"/>
      <c r="Q25" s="41"/>
      <c r="R25" s="42"/>
      <c r="S25" s="4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32"/>
    </row>
    <row r="26" spans="2:32" ht="11.25" customHeight="1">
      <c r="B26" s="19"/>
      <c r="C26" s="15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40"/>
      <c r="Q26" s="41"/>
      <c r="R26" s="42"/>
      <c r="S26" s="4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32"/>
    </row>
    <row r="27" spans="2:32" ht="18.75" customHeight="1">
      <c r="B27" s="19"/>
      <c r="C27" s="36"/>
      <c r="D27" s="37" t="s">
        <v>20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40"/>
      <c r="Q27" s="41"/>
      <c r="R27" s="42"/>
      <c r="S27" s="37"/>
      <c r="T27" s="10" t="s">
        <v>21</v>
      </c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32"/>
    </row>
    <row r="28" spans="2:32" ht="18.75" customHeight="1">
      <c r="B28" s="19"/>
      <c r="C28" s="15"/>
      <c r="D28" s="38"/>
      <c r="E28" s="11" t="s">
        <v>22</v>
      </c>
      <c r="F28" s="11"/>
      <c r="G28" s="11"/>
      <c r="H28" s="11"/>
      <c r="I28" s="11"/>
      <c r="J28" s="11"/>
      <c r="K28" s="11"/>
      <c r="L28" s="11"/>
      <c r="M28" s="11"/>
      <c r="N28" s="39" t="s">
        <v>6</v>
      </c>
      <c r="O28" s="38"/>
      <c r="P28" s="40"/>
      <c r="Q28" s="41"/>
      <c r="R28" s="42"/>
      <c r="S28" s="41"/>
      <c r="T28" s="12" t="s">
        <v>23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32"/>
    </row>
    <row r="29" spans="2:32" ht="18.75" customHeight="1">
      <c r="B29" s="19"/>
      <c r="C29" s="15"/>
      <c r="D29" s="38"/>
      <c r="E29" s="11" t="s">
        <v>24</v>
      </c>
      <c r="F29" s="11"/>
      <c r="G29" s="11"/>
      <c r="H29" s="11"/>
      <c r="I29" s="11"/>
      <c r="J29" s="11"/>
      <c r="K29" s="11"/>
      <c r="L29" s="11"/>
      <c r="M29" s="11"/>
      <c r="N29" s="39" t="s">
        <v>6</v>
      </c>
      <c r="O29" s="38"/>
      <c r="P29" s="40"/>
      <c r="Q29" s="41"/>
      <c r="R29" s="42"/>
      <c r="S29" s="4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32"/>
    </row>
    <row r="30" spans="2:32" ht="18.75" customHeight="1">
      <c r="B30" s="19"/>
      <c r="C30" s="15"/>
      <c r="D30" s="38"/>
      <c r="E30" s="11" t="s">
        <v>25</v>
      </c>
      <c r="F30" s="11"/>
      <c r="G30" s="11"/>
      <c r="H30" s="11"/>
      <c r="I30" s="11"/>
      <c r="J30" s="11"/>
      <c r="K30" s="11"/>
      <c r="L30" s="11"/>
      <c r="M30" s="11"/>
      <c r="N30" s="39" t="s">
        <v>6</v>
      </c>
      <c r="O30" s="38"/>
      <c r="P30" s="40"/>
      <c r="Q30" s="41"/>
      <c r="R30" s="42"/>
      <c r="S30" s="4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32"/>
    </row>
    <row r="31" spans="2:32" ht="11.25" customHeight="1">
      <c r="B31" s="19"/>
      <c r="C31" s="15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40"/>
      <c r="Q31" s="41"/>
      <c r="R31" s="42"/>
      <c r="S31" s="4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32"/>
    </row>
    <row r="32" spans="2:32" ht="18.75" customHeight="1">
      <c r="B32" s="19"/>
      <c r="C32" s="36"/>
      <c r="D32" s="37" t="s">
        <v>26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40"/>
      <c r="Q32" s="41"/>
      <c r="R32" s="42"/>
      <c r="S32" s="37"/>
      <c r="T32" s="10" t="s">
        <v>27</v>
      </c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32"/>
    </row>
    <row r="33" spans="2:32" ht="22.5" customHeight="1">
      <c r="B33" s="19"/>
      <c r="C33" s="15"/>
      <c r="D33" s="38"/>
      <c r="E33" s="11" t="s">
        <v>28</v>
      </c>
      <c r="F33" s="11"/>
      <c r="G33" s="11"/>
      <c r="H33" s="11"/>
      <c r="I33" s="11"/>
      <c r="J33" s="11"/>
      <c r="K33" s="11"/>
      <c r="L33" s="11"/>
      <c r="M33" s="11"/>
      <c r="N33" s="39" t="s">
        <v>6</v>
      </c>
      <c r="O33" s="38"/>
      <c r="P33" s="40"/>
      <c r="Q33" s="41"/>
      <c r="R33" s="42"/>
      <c r="S33" s="41"/>
      <c r="T33" s="12" t="s">
        <v>1882</v>
      </c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43"/>
      <c r="AF33" s="32"/>
    </row>
    <row r="34" spans="2:32" ht="22.5" customHeight="1">
      <c r="B34" s="19"/>
      <c r="C34" s="15"/>
      <c r="D34" s="38"/>
      <c r="E34" s="11" t="s">
        <v>29</v>
      </c>
      <c r="F34" s="11"/>
      <c r="G34" s="11"/>
      <c r="H34" s="11"/>
      <c r="I34" s="11"/>
      <c r="J34" s="11"/>
      <c r="K34" s="11"/>
      <c r="L34" s="11"/>
      <c r="M34" s="11"/>
      <c r="N34" s="39" t="s">
        <v>6</v>
      </c>
      <c r="O34" s="38"/>
      <c r="P34" s="40"/>
      <c r="Q34" s="41"/>
      <c r="R34" s="42"/>
      <c r="S34" s="4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43"/>
      <c r="AF34" s="32"/>
    </row>
    <row r="35" spans="2:32" ht="22.5" customHeight="1">
      <c r="B35" s="19"/>
      <c r="C35" s="15"/>
      <c r="D35" s="38"/>
      <c r="E35" s="11" t="s">
        <v>30</v>
      </c>
      <c r="F35" s="11"/>
      <c r="G35" s="11"/>
      <c r="H35" s="11"/>
      <c r="I35" s="11"/>
      <c r="J35" s="11"/>
      <c r="K35" s="11"/>
      <c r="L35" s="11"/>
      <c r="M35" s="11"/>
      <c r="N35" s="39" t="s">
        <v>6</v>
      </c>
      <c r="O35" s="38"/>
      <c r="P35" s="40"/>
      <c r="Q35" s="41"/>
      <c r="R35" s="42"/>
      <c r="S35" s="4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43"/>
      <c r="AF35" s="32"/>
    </row>
    <row r="36" spans="2:32" ht="22.5" customHeight="1">
      <c r="B36" s="19"/>
      <c r="C36" s="15"/>
      <c r="D36" s="38"/>
      <c r="E36" s="11" t="s">
        <v>31</v>
      </c>
      <c r="F36" s="11"/>
      <c r="G36" s="11"/>
      <c r="H36" s="11"/>
      <c r="I36" s="11"/>
      <c r="J36" s="11"/>
      <c r="K36" s="11"/>
      <c r="L36" s="11"/>
      <c r="M36" s="11"/>
      <c r="N36" s="39" t="s">
        <v>6</v>
      </c>
      <c r="O36" s="38"/>
      <c r="P36" s="40"/>
      <c r="Q36" s="41"/>
      <c r="R36" s="42"/>
      <c r="S36" s="4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43"/>
      <c r="AF36" s="32"/>
    </row>
    <row r="37" spans="2:32" ht="22.5" customHeight="1">
      <c r="B37" s="19"/>
      <c r="C37" s="15"/>
      <c r="D37" s="38"/>
      <c r="E37" s="11" t="s">
        <v>32</v>
      </c>
      <c r="F37" s="11"/>
      <c r="G37" s="11"/>
      <c r="H37" s="11"/>
      <c r="I37" s="11"/>
      <c r="J37" s="11"/>
      <c r="K37" s="11"/>
      <c r="L37" s="11"/>
      <c r="M37" s="11"/>
      <c r="N37" s="39" t="s">
        <v>6</v>
      </c>
      <c r="O37" s="38"/>
      <c r="P37" s="40"/>
      <c r="Q37" s="41"/>
      <c r="R37" s="42"/>
      <c r="S37" s="4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43"/>
      <c r="AF37" s="32"/>
    </row>
    <row r="38" spans="2:32" ht="11.25" customHeight="1">
      <c r="B38" s="19"/>
      <c r="C38" s="15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40"/>
      <c r="Q38" s="41"/>
      <c r="R38" s="42"/>
      <c r="S38" s="4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43"/>
      <c r="AF38" s="32"/>
    </row>
    <row r="39" spans="2:32" ht="18.75" customHeight="1">
      <c r="B39" s="19"/>
      <c r="C39" s="36"/>
      <c r="D39" s="37" t="s">
        <v>33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40"/>
      <c r="Q39" s="41"/>
      <c r="R39" s="42"/>
      <c r="S39" s="4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43"/>
      <c r="AF39" s="32"/>
    </row>
    <row r="40" spans="2:32" ht="18.75" customHeight="1">
      <c r="B40" s="19"/>
      <c r="C40" s="15"/>
      <c r="D40" s="38"/>
      <c r="E40" s="11" t="s">
        <v>34</v>
      </c>
      <c r="F40" s="11"/>
      <c r="G40" s="11"/>
      <c r="H40" s="11"/>
      <c r="I40" s="11"/>
      <c r="J40" s="11"/>
      <c r="K40" s="11"/>
      <c r="L40" s="11"/>
      <c r="M40" s="11"/>
      <c r="N40" s="39" t="s">
        <v>6</v>
      </c>
      <c r="O40" s="38"/>
      <c r="P40" s="40"/>
      <c r="Q40" s="41"/>
      <c r="R40" s="42"/>
      <c r="S40" s="41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32"/>
    </row>
    <row r="41" spans="2:32" ht="18.75" customHeight="1">
      <c r="B41" s="19"/>
      <c r="C41" s="15"/>
      <c r="D41" s="38"/>
      <c r="E41" s="11" t="s">
        <v>35</v>
      </c>
      <c r="F41" s="11"/>
      <c r="G41" s="11"/>
      <c r="H41" s="11"/>
      <c r="I41" s="11"/>
      <c r="J41" s="11"/>
      <c r="K41" s="11"/>
      <c r="L41" s="11"/>
      <c r="M41" s="11"/>
      <c r="N41" s="39" t="s">
        <v>6</v>
      </c>
      <c r="O41" s="38"/>
      <c r="P41" s="40"/>
      <c r="Q41" s="41"/>
      <c r="R41" s="42"/>
      <c r="S41" s="41"/>
      <c r="T41" s="10" t="s">
        <v>36</v>
      </c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32"/>
    </row>
    <row r="42" spans="2:32" ht="11.25" customHeight="1">
      <c r="B42" s="19"/>
      <c r="C42" s="15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40"/>
      <c r="Q42" s="41"/>
      <c r="R42" s="42"/>
      <c r="S42" s="41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32"/>
    </row>
    <row r="43" spans="2:32" ht="18.75" customHeight="1">
      <c r="B43" s="19"/>
      <c r="C43" s="36"/>
      <c r="D43" s="37" t="s">
        <v>37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40"/>
      <c r="Q43" s="41"/>
      <c r="R43" s="42"/>
      <c r="S43" s="41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32"/>
    </row>
    <row r="44" spans="2:32" ht="18.75" customHeight="1">
      <c r="B44" s="19"/>
      <c r="C44" s="15"/>
      <c r="D44" s="38"/>
      <c r="E44" s="11" t="s">
        <v>38</v>
      </c>
      <c r="F44" s="11"/>
      <c r="G44" s="11"/>
      <c r="H44" s="11"/>
      <c r="I44" s="11"/>
      <c r="J44" s="11"/>
      <c r="K44" s="11"/>
      <c r="L44" s="11"/>
      <c r="M44" s="11"/>
      <c r="N44" s="39" t="s">
        <v>6</v>
      </c>
      <c r="O44" s="38"/>
      <c r="P44" s="40"/>
      <c r="Q44" s="41"/>
      <c r="R44" s="42"/>
      <c r="S44" s="41"/>
      <c r="T44" s="43"/>
      <c r="U44" s="43"/>
      <c r="V44" s="43"/>
      <c r="W44" s="9" t="s">
        <v>39</v>
      </c>
      <c r="X44" s="9"/>
      <c r="Y44" s="9"/>
      <c r="Z44" s="43"/>
      <c r="AA44" s="43"/>
      <c r="AB44" s="43"/>
      <c r="AC44" s="9" t="s">
        <v>40</v>
      </c>
      <c r="AD44" s="9"/>
      <c r="AE44" s="43"/>
      <c r="AF44" s="32"/>
    </row>
    <row r="45" spans="2:32" ht="18.75" customHeight="1">
      <c r="B45" s="19"/>
      <c r="C45" s="15"/>
      <c r="D45" s="38"/>
      <c r="E45" s="11" t="s">
        <v>41</v>
      </c>
      <c r="F45" s="11"/>
      <c r="G45" s="11"/>
      <c r="H45" s="11"/>
      <c r="I45" s="11"/>
      <c r="J45" s="11"/>
      <c r="K45" s="11"/>
      <c r="L45" s="11"/>
      <c r="M45" s="11"/>
      <c r="N45" s="39" t="s">
        <v>6</v>
      </c>
      <c r="O45" s="38"/>
      <c r="P45" s="40"/>
      <c r="Q45" s="41"/>
      <c r="R45" s="42"/>
      <c r="S45" s="41"/>
      <c r="T45" s="43"/>
      <c r="U45" s="43"/>
      <c r="V45" s="43"/>
      <c r="W45" s="8" t="s">
        <v>42</v>
      </c>
      <c r="X45" s="8"/>
      <c r="Y45" s="8"/>
      <c r="Z45" s="43"/>
      <c r="AA45" s="43"/>
      <c r="AB45" s="43"/>
      <c r="AC45" s="8" t="s">
        <v>43</v>
      </c>
      <c r="AD45" s="8"/>
      <c r="AE45" s="43"/>
      <c r="AF45" s="32"/>
    </row>
    <row r="46" spans="2:32" ht="11.25" customHeight="1">
      <c r="B46" s="19"/>
      <c r="C46" s="15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40"/>
      <c r="Q46" s="41"/>
      <c r="R46" s="42"/>
      <c r="S46" s="41"/>
      <c r="T46" s="43"/>
      <c r="U46" s="43"/>
      <c r="V46" s="43"/>
      <c r="W46" s="8"/>
      <c r="X46" s="8"/>
      <c r="Y46" s="8"/>
      <c r="Z46" s="43"/>
      <c r="AA46" s="43"/>
      <c r="AB46" s="43"/>
      <c r="AC46" s="8"/>
      <c r="AD46" s="8"/>
      <c r="AE46" s="43"/>
      <c r="AF46" s="32"/>
    </row>
    <row r="47" spans="2:32" ht="20.25" customHeight="1">
      <c r="B47" s="19"/>
      <c r="C47" s="36"/>
      <c r="D47" s="37" t="s">
        <v>44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40"/>
      <c r="Q47" s="41"/>
      <c r="R47" s="42"/>
      <c r="S47" s="41"/>
      <c r="T47" s="43"/>
      <c r="U47" s="43"/>
      <c r="V47" s="43"/>
      <c r="W47" s="8"/>
      <c r="X47" s="8"/>
      <c r="Y47" s="8"/>
      <c r="Z47" s="43"/>
      <c r="AA47" s="43"/>
      <c r="AB47" s="43"/>
      <c r="AC47" s="8"/>
      <c r="AD47" s="8"/>
      <c r="AE47" s="43"/>
      <c r="AF47" s="32"/>
    </row>
    <row r="48" spans="2:32" ht="18.75" customHeight="1">
      <c r="B48" s="19"/>
      <c r="C48" s="15"/>
      <c r="D48" s="38"/>
      <c r="E48" s="11" t="s">
        <v>45</v>
      </c>
      <c r="F48" s="11"/>
      <c r="G48" s="11"/>
      <c r="H48" s="11"/>
      <c r="I48" s="11"/>
      <c r="J48" s="11"/>
      <c r="K48" s="11"/>
      <c r="L48" s="11"/>
      <c r="M48" s="11"/>
      <c r="N48" s="39" t="s">
        <v>6</v>
      </c>
      <c r="O48" s="38"/>
      <c r="P48" s="40"/>
      <c r="Q48" s="41"/>
      <c r="R48" s="42"/>
      <c r="S48" s="41"/>
      <c r="T48" s="15"/>
      <c r="U48" s="15"/>
      <c r="V48" s="15"/>
      <c r="W48" s="8"/>
      <c r="X48" s="8"/>
      <c r="Y48" s="8"/>
      <c r="Z48" s="15"/>
      <c r="AA48" s="15"/>
      <c r="AB48" s="15"/>
      <c r="AC48" s="8"/>
      <c r="AD48" s="8"/>
      <c r="AE48" s="43"/>
      <c r="AF48" s="32"/>
    </row>
    <row r="49" spans="2:32" ht="11.25" customHeight="1">
      <c r="B49" s="19"/>
      <c r="C49" s="15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40"/>
      <c r="Q49" s="41"/>
      <c r="R49" s="42"/>
      <c r="S49" s="41"/>
      <c r="T49" s="15"/>
      <c r="U49" s="15"/>
      <c r="V49" s="15"/>
      <c r="W49" s="7"/>
      <c r="X49" s="7"/>
      <c r="Y49" s="7"/>
      <c r="Z49" s="15"/>
      <c r="AA49" s="15"/>
      <c r="AB49" s="15"/>
      <c r="AC49" s="44"/>
      <c r="AD49" s="44"/>
      <c r="AE49" s="43"/>
      <c r="AF49" s="32"/>
    </row>
    <row r="50" spans="2:32" ht="18.75" customHeight="1">
      <c r="B50" s="19"/>
      <c r="C50" s="36"/>
      <c r="D50" s="37" t="s">
        <v>46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40"/>
      <c r="Q50" s="41"/>
      <c r="R50" s="42"/>
      <c r="S50" s="45"/>
      <c r="T50" s="46"/>
      <c r="U50" s="46"/>
      <c r="V50" s="46"/>
      <c r="W50" s="7"/>
      <c r="X50" s="7"/>
      <c r="Y50" s="7"/>
      <c r="Z50" s="46"/>
      <c r="AA50" s="46"/>
      <c r="AB50" s="46"/>
      <c r="AC50" s="43"/>
      <c r="AD50" s="43"/>
      <c r="AE50" s="43"/>
      <c r="AF50" s="32"/>
    </row>
    <row r="51" spans="2:32" ht="18.75" customHeight="1">
      <c r="B51" s="19"/>
      <c r="C51" s="15"/>
      <c r="D51" s="38"/>
      <c r="E51" s="11" t="s">
        <v>47</v>
      </c>
      <c r="F51" s="11"/>
      <c r="G51" s="11"/>
      <c r="H51" s="11"/>
      <c r="I51" s="11"/>
      <c r="J51" s="11"/>
      <c r="K51" s="11"/>
      <c r="L51" s="11"/>
      <c r="M51" s="11"/>
      <c r="N51" s="39" t="s">
        <v>6</v>
      </c>
      <c r="O51" s="38"/>
      <c r="P51" s="40"/>
      <c r="Q51" s="41"/>
      <c r="R51" s="42"/>
      <c r="S51" s="47"/>
      <c r="T51" s="6"/>
      <c r="U51" s="6"/>
      <c r="V51" s="6"/>
      <c r="W51" s="47"/>
      <c r="X51" s="47"/>
      <c r="Y51" s="47"/>
      <c r="Z51" s="47"/>
      <c r="AA51" s="47"/>
      <c r="AB51" s="47"/>
      <c r="AC51" s="47"/>
      <c r="AD51" s="47"/>
      <c r="AE51" s="47"/>
      <c r="AF51" s="32"/>
    </row>
    <row r="52" spans="2:32" ht="12.75" customHeight="1">
      <c r="B52" s="19"/>
      <c r="C52" s="15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9"/>
      <c r="Q52" s="50"/>
      <c r="R52" s="51"/>
      <c r="S52" s="47"/>
      <c r="T52" s="6"/>
      <c r="U52" s="6"/>
      <c r="V52" s="6"/>
      <c r="W52" s="47"/>
      <c r="X52" s="47"/>
      <c r="Y52" s="47"/>
      <c r="Z52" s="47"/>
      <c r="AA52" s="47"/>
      <c r="AB52" s="47"/>
      <c r="AC52" s="47"/>
      <c r="AD52" s="47"/>
      <c r="AE52" s="47"/>
      <c r="AF52" s="32"/>
    </row>
    <row r="53" spans="2:32" ht="12.75" customHeight="1">
      <c r="B53" s="19"/>
      <c r="C53" s="20"/>
      <c r="D53" s="5" t="s">
        <v>1881</v>
      </c>
      <c r="E53" s="5"/>
      <c r="F53" s="5"/>
      <c r="G53" s="5"/>
      <c r="H53" s="5"/>
      <c r="I53" s="5"/>
      <c r="J53" s="5"/>
      <c r="K53" s="5"/>
      <c r="L53" s="5"/>
      <c r="M53" s="5"/>
      <c r="N53" s="4" t="s">
        <v>1880</v>
      </c>
      <c r="O53" s="4"/>
      <c r="P53" s="49"/>
      <c r="Q53" s="50"/>
      <c r="R53" s="51"/>
      <c r="S53" s="20"/>
      <c r="T53" s="5" t="s">
        <v>1881</v>
      </c>
      <c r="U53" s="5"/>
      <c r="V53" s="5"/>
      <c r="W53" s="5"/>
      <c r="X53" s="5"/>
      <c r="Y53" s="5"/>
      <c r="Z53" s="5"/>
      <c r="AA53" s="5"/>
      <c r="AB53" s="5"/>
      <c r="AC53" s="5"/>
      <c r="AD53" s="4" t="s">
        <v>1880</v>
      </c>
      <c r="AE53" s="4"/>
      <c r="AF53" s="32"/>
    </row>
    <row r="54" spans="2:32" ht="12.75" customHeight="1">
      <c r="B54" s="19"/>
      <c r="C54" s="20"/>
      <c r="D54" s="5"/>
      <c r="E54" s="5"/>
      <c r="F54" s="5"/>
      <c r="G54" s="5"/>
      <c r="H54" s="5"/>
      <c r="I54" s="5"/>
      <c r="J54" s="5"/>
      <c r="K54" s="5"/>
      <c r="L54" s="5"/>
      <c r="M54" s="5"/>
      <c r="N54" s="4"/>
      <c r="O54" s="4"/>
      <c r="P54" s="49"/>
      <c r="Q54" s="50"/>
      <c r="R54" s="51"/>
      <c r="S54" s="20"/>
      <c r="T54" s="5"/>
      <c r="U54" s="5"/>
      <c r="V54" s="5"/>
      <c r="W54" s="5"/>
      <c r="X54" s="5"/>
      <c r="Y54" s="5"/>
      <c r="Z54" s="5"/>
      <c r="AA54" s="5"/>
      <c r="AB54" s="5"/>
      <c r="AC54" s="5"/>
      <c r="AD54" s="4"/>
      <c r="AE54" s="4"/>
      <c r="AF54" s="32"/>
    </row>
    <row r="55" spans="2:32" ht="13.5" customHeight="1">
      <c r="B55" s="19"/>
      <c r="C55" s="20"/>
      <c r="D55" s="5"/>
      <c r="E55" s="5"/>
      <c r="F55" s="5"/>
      <c r="G55" s="5"/>
      <c r="H55" s="5"/>
      <c r="I55" s="5"/>
      <c r="J55" s="5"/>
      <c r="K55" s="5"/>
      <c r="L55" s="5"/>
      <c r="M55" s="5"/>
      <c r="N55" s="4"/>
      <c r="O55" s="4"/>
      <c r="P55" s="49"/>
      <c r="Q55" s="50"/>
      <c r="R55" s="51"/>
      <c r="S55" s="20"/>
      <c r="T55" s="5"/>
      <c r="U55" s="5"/>
      <c r="V55" s="5"/>
      <c r="W55" s="5"/>
      <c r="X55" s="5"/>
      <c r="Y55" s="5"/>
      <c r="Z55" s="5"/>
      <c r="AA55" s="5"/>
      <c r="AB55" s="5"/>
      <c r="AC55" s="5"/>
      <c r="AD55" s="4"/>
      <c r="AE55" s="4"/>
      <c r="AF55" s="32"/>
    </row>
    <row r="56" spans="2:32" ht="13.5" customHeight="1">
      <c r="B56" s="19"/>
      <c r="C56" s="20"/>
      <c r="D56" s="5"/>
      <c r="E56" s="5"/>
      <c r="F56" s="5"/>
      <c r="G56" s="5"/>
      <c r="H56" s="5"/>
      <c r="I56" s="5"/>
      <c r="J56" s="5"/>
      <c r="K56" s="5"/>
      <c r="L56" s="5"/>
      <c r="M56" s="5"/>
      <c r="N56" s="4"/>
      <c r="O56" s="4"/>
      <c r="P56" s="49"/>
      <c r="Q56" s="50"/>
      <c r="R56" s="51"/>
      <c r="S56" s="20"/>
      <c r="T56" s="5"/>
      <c r="U56" s="5"/>
      <c r="V56" s="5"/>
      <c r="W56" s="5"/>
      <c r="X56" s="5"/>
      <c r="Y56" s="5"/>
      <c r="Z56" s="5"/>
      <c r="AA56" s="5"/>
      <c r="AB56" s="5"/>
      <c r="AC56" s="5"/>
      <c r="AD56" s="4"/>
      <c r="AE56" s="4"/>
      <c r="AF56" s="32"/>
    </row>
    <row r="57" spans="2:32" ht="11.25" customHeight="1">
      <c r="B57" s="52"/>
      <c r="C57" s="53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5"/>
      <c r="O57" s="55"/>
      <c r="P57" s="56"/>
      <c r="Q57" s="50"/>
      <c r="R57" s="57"/>
      <c r="S57" s="58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60"/>
    </row>
    <row r="58" spans="2:32" ht="12.75" customHeight="1">
      <c r="C58" s="3" t="s">
        <v>48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48"/>
      <c r="Q58" s="48"/>
      <c r="R58" s="48"/>
      <c r="S58" s="48"/>
      <c r="T58" s="15"/>
    </row>
    <row r="59" spans="2:32" ht="13.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48"/>
      <c r="Q59" s="48"/>
      <c r="R59" s="48"/>
      <c r="S59" s="48"/>
      <c r="T59" s="15"/>
    </row>
    <row r="60" spans="2:32" ht="13.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61"/>
      <c r="Q60" s="61"/>
      <c r="R60" s="61"/>
      <c r="S60" s="61"/>
    </row>
    <row r="61" spans="2:32" ht="13.5"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48"/>
      <c r="P61" s="61"/>
      <c r="Q61" s="61"/>
      <c r="R61" s="61"/>
      <c r="S61" s="61"/>
    </row>
    <row r="62" spans="2:32" ht="13.5"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48"/>
      <c r="P62" s="61"/>
      <c r="Q62" s="61"/>
      <c r="R62" s="61"/>
      <c r="S62" s="61"/>
    </row>
    <row r="63" spans="2:32" ht="13.5"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48"/>
      <c r="P63" s="61"/>
      <c r="Q63" s="61"/>
      <c r="R63" s="61"/>
      <c r="S63" s="61"/>
    </row>
    <row r="64" spans="2:32" ht="13.5"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48"/>
      <c r="P64" s="61"/>
      <c r="Q64" s="61"/>
      <c r="R64" s="61"/>
      <c r="S64" s="61"/>
    </row>
  </sheetData>
  <mergeCells count="43">
    <mergeCell ref="AD53:AE56"/>
    <mergeCell ref="C58:O60"/>
    <mergeCell ref="E51:M51"/>
    <mergeCell ref="T51:V52"/>
    <mergeCell ref="D53:M56"/>
    <mergeCell ref="N53:O56"/>
    <mergeCell ref="T53:AC56"/>
    <mergeCell ref="E45:M45"/>
    <mergeCell ref="W45:Y48"/>
    <mergeCell ref="AC45:AD48"/>
    <mergeCell ref="E48:M48"/>
    <mergeCell ref="W49:Y50"/>
    <mergeCell ref="E40:M40"/>
    <mergeCell ref="E41:M41"/>
    <mergeCell ref="T41:AE41"/>
    <mergeCell ref="E44:M44"/>
    <mergeCell ref="W44:Y44"/>
    <mergeCell ref="AC44:AD44"/>
    <mergeCell ref="T32:AE32"/>
    <mergeCell ref="E33:M33"/>
    <mergeCell ref="T33:AD39"/>
    <mergeCell ref="E34:M34"/>
    <mergeCell ref="E35:M35"/>
    <mergeCell ref="E36:M36"/>
    <mergeCell ref="E37:M37"/>
    <mergeCell ref="T27:AE27"/>
    <mergeCell ref="E28:M28"/>
    <mergeCell ref="T28:AE31"/>
    <mergeCell ref="E29:M29"/>
    <mergeCell ref="E30:M30"/>
    <mergeCell ref="E13:M13"/>
    <mergeCell ref="T13:AE26"/>
    <mergeCell ref="E14:M14"/>
    <mergeCell ref="E15:M15"/>
    <mergeCell ref="E18:M18"/>
    <mergeCell ref="E21:M21"/>
    <mergeCell ref="E22:M22"/>
    <mergeCell ref="E25:M25"/>
    <mergeCell ref="D3:K5"/>
    <mergeCell ref="T3:AA5"/>
    <mergeCell ref="T9:AE11"/>
    <mergeCell ref="E10:M10"/>
    <mergeCell ref="T12:AE1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1"/>
  <sheetViews>
    <sheetView showGridLines="0" topLeftCell="A7" zoomScaleNormal="100" workbookViewId="0">
      <selection activeCell="P34" sqref="P34"/>
    </sheetView>
  </sheetViews>
  <sheetFormatPr defaultColWidth="9.1796875" defaultRowHeight="12" customHeight="1"/>
  <cols>
    <col min="1" max="1" width="2.1796875" style="107" customWidth="1"/>
    <col min="2" max="2" width="15" style="108" customWidth="1"/>
    <col min="3" max="3" width="41.1796875" style="107" customWidth="1"/>
    <col min="4" max="4" width="18.81640625" style="107" customWidth="1"/>
    <col min="5" max="5" width="17" style="107" customWidth="1"/>
    <col min="6" max="6" width="17.54296875" style="107" customWidth="1"/>
    <col min="7" max="7" width="20.1796875" style="107" customWidth="1"/>
    <col min="8" max="8" width="12.7265625" style="107" customWidth="1"/>
    <col min="9" max="9" width="16.1796875" style="107" customWidth="1"/>
    <col min="10" max="10" width="16.7265625" style="269" hidden="1" customWidth="1"/>
    <col min="11" max="11" width="11.1796875" style="107" customWidth="1"/>
    <col min="12" max="12" width="10.453125" style="107" customWidth="1"/>
    <col min="13" max="13" width="11.1796875" style="107" customWidth="1"/>
    <col min="14" max="14" width="3.7265625" style="107" customWidth="1"/>
    <col min="15" max="16384" width="9.1796875" style="107"/>
  </cols>
  <sheetData>
    <row r="1" spans="1:14" ht="11.25" customHeight="1"/>
    <row r="2" spans="1:14" ht="42" customHeight="1">
      <c r="B2" s="213" t="s">
        <v>452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8"/>
    </row>
    <row r="3" spans="1:14" ht="61.5" customHeight="1">
      <c r="B3" s="491" t="s">
        <v>453</v>
      </c>
      <c r="C3" s="491"/>
      <c r="D3" s="491"/>
      <c r="E3" s="491"/>
      <c r="F3" s="491"/>
      <c r="G3" s="491"/>
      <c r="H3" s="491"/>
      <c r="I3" s="158"/>
      <c r="J3" s="270"/>
      <c r="K3" s="158"/>
      <c r="L3" s="158"/>
      <c r="M3" s="158"/>
      <c r="N3" s="114"/>
    </row>
    <row r="4" spans="1:14" ht="11.25" customHeight="1">
      <c r="B4" s="76" t="s">
        <v>58</v>
      </c>
      <c r="C4" s="115" t="s">
        <v>59</v>
      </c>
      <c r="D4" s="163"/>
      <c r="E4" s="164"/>
      <c r="F4" s="116"/>
      <c r="G4" s="116"/>
      <c r="H4" s="117"/>
      <c r="I4" s="158"/>
      <c r="J4" s="270"/>
      <c r="K4" s="158"/>
      <c r="L4" s="158"/>
      <c r="M4" s="158"/>
      <c r="N4" s="114"/>
    </row>
    <row r="5" spans="1:14" ht="9.75" customHeight="1">
      <c r="B5" s="78" t="s">
        <v>61</v>
      </c>
      <c r="C5" s="115" t="s">
        <v>62</v>
      </c>
      <c r="D5" s="163"/>
      <c r="E5" s="164"/>
      <c r="F5" s="116"/>
      <c r="G5" s="116"/>
      <c r="H5" s="117"/>
      <c r="I5" s="158"/>
      <c r="J5" s="270"/>
      <c r="K5" s="158"/>
      <c r="L5" s="158"/>
      <c r="M5" s="158"/>
      <c r="N5" s="114"/>
    </row>
    <row r="6" spans="1:14" ht="11.25" customHeight="1">
      <c r="B6" s="80" t="s">
        <v>65</v>
      </c>
      <c r="C6" s="115" t="s">
        <v>66</v>
      </c>
      <c r="D6" s="163"/>
      <c r="E6" s="164"/>
      <c r="F6" s="116"/>
      <c r="G6" s="116"/>
      <c r="H6" s="117"/>
      <c r="I6" s="158"/>
      <c r="J6" s="270"/>
      <c r="K6" s="158"/>
      <c r="L6" s="158"/>
      <c r="M6" s="158"/>
      <c r="N6" s="114"/>
    </row>
    <row r="7" spans="1:14" ht="11.25" customHeight="1">
      <c r="B7" s="80"/>
      <c r="C7" s="115"/>
      <c r="D7" s="163"/>
      <c r="E7" s="164"/>
      <c r="F7" s="116"/>
      <c r="G7" s="116"/>
      <c r="H7" s="117"/>
      <c r="I7" s="158"/>
      <c r="J7" s="270"/>
      <c r="K7" s="158"/>
      <c r="L7" s="158"/>
      <c r="M7" s="158"/>
      <c r="N7" s="114"/>
    </row>
    <row r="8" spans="1:14" ht="15" customHeight="1">
      <c r="B8" s="118"/>
      <c r="C8" s="119"/>
      <c r="D8" s="119"/>
      <c r="E8" s="119"/>
      <c r="F8" s="120"/>
      <c r="G8" s="120"/>
      <c r="H8" s="117"/>
      <c r="I8" s="158"/>
      <c r="J8" s="270"/>
      <c r="K8" s="158"/>
      <c r="L8" s="158"/>
      <c r="M8" s="158"/>
      <c r="N8" s="114"/>
    </row>
    <row r="9" spans="1:14" s="28" customFormat="1" ht="15" customHeight="1">
      <c r="A9" s="121"/>
      <c r="B9" s="73"/>
      <c r="C9" s="74"/>
      <c r="D9" s="74"/>
      <c r="E9" s="74"/>
      <c r="F9" s="123"/>
      <c r="G9" s="123"/>
      <c r="H9" s="117"/>
      <c r="I9" s="158"/>
      <c r="J9" s="270"/>
      <c r="K9" s="158"/>
      <c r="L9" s="158"/>
      <c r="M9" s="158"/>
      <c r="N9" s="114"/>
    </row>
    <row r="10" spans="1:14" ht="9.75" customHeight="1">
      <c r="B10" s="271"/>
      <c r="C10" s="272"/>
      <c r="D10" s="272"/>
      <c r="E10" s="272"/>
      <c r="F10" s="273"/>
      <c r="G10" s="274"/>
      <c r="H10" s="274"/>
      <c r="I10" s="275"/>
      <c r="J10" s="276"/>
      <c r="K10" s="528"/>
      <c r="L10" s="528"/>
      <c r="M10" s="528"/>
      <c r="N10" s="528"/>
    </row>
    <row r="11" spans="1:14" ht="23.25" customHeight="1">
      <c r="B11" s="494" t="s">
        <v>72</v>
      </c>
      <c r="C11" s="494" t="s">
        <v>90</v>
      </c>
      <c r="D11" s="494" t="s">
        <v>150</v>
      </c>
      <c r="E11" s="494" t="s">
        <v>91</v>
      </c>
      <c r="F11" s="494"/>
      <c r="G11" s="494" t="s">
        <v>84</v>
      </c>
      <c r="H11" s="494" t="s">
        <v>99</v>
      </c>
      <c r="I11" s="494" t="s">
        <v>83</v>
      </c>
      <c r="J11" s="494" t="s">
        <v>454</v>
      </c>
      <c r="K11" s="494" t="s">
        <v>67</v>
      </c>
      <c r="L11" s="494" t="s">
        <v>74</v>
      </c>
      <c r="M11" s="494" t="s">
        <v>75</v>
      </c>
      <c r="N11" s="529" t="s">
        <v>55</v>
      </c>
    </row>
    <row r="12" spans="1:14" ht="15.75" customHeight="1">
      <c r="B12" s="494"/>
      <c r="C12" s="494"/>
      <c r="D12" s="494"/>
      <c r="E12" s="95" t="s">
        <v>455</v>
      </c>
      <c r="F12" s="95" t="s">
        <v>456</v>
      </c>
      <c r="G12" s="494"/>
      <c r="H12" s="494"/>
      <c r="I12" s="494"/>
      <c r="J12" s="494"/>
      <c r="K12" s="494"/>
      <c r="L12" s="494"/>
      <c r="M12" s="494"/>
      <c r="N12" s="529"/>
    </row>
    <row r="13" spans="1:14" ht="32.25" customHeight="1">
      <c r="B13" s="97" t="s">
        <v>457</v>
      </c>
      <c r="C13" s="134" t="str">
        <f>VLOOKUP(B13,ИСХОДНИК!A:N,5,FALSE())</f>
        <v>SNV-L G1/2-W1/2 ANG + заглушка</v>
      </c>
      <c r="D13" s="105" t="s">
        <v>267</v>
      </c>
      <c r="E13" s="137" t="s">
        <v>458</v>
      </c>
      <c r="F13" s="137" t="s">
        <v>459</v>
      </c>
      <c r="G13" s="137" t="str">
        <f>VLOOKUP(B13,ИСХОДНИК!A:N,10,FALSE())</f>
        <v>R717, R744 и фреоны</v>
      </c>
      <c r="H13" s="137">
        <f>VLOOKUP(B13,ИСХОДНИК!A:N,8,FALSE())</f>
        <v>52</v>
      </c>
      <c r="I13" s="137" t="str">
        <f>VLOOKUP(B13,ИСХОДНИК!A:N,9,FALSE())</f>
        <v xml:space="preserve"> -50…150</v>
      </c>
      <c r="J13" s="137" t="s">
        <v>460</v>
      </c>
      <c r="K13" s="105" t="str">
        <f>VLOOKUP(B13,ИСХОДНИК!A:O,15,FALSE())</f>
        <v>U6 PL40R</v>
      </c>
      <c r="L13" s="139">
        <f>VLOOKUP(B13,ИСХОДНИК!A:N,13,FALSE())</f>
        <v>186000</v>
      </c>
      <c r="M13" s="139">
        <f>VLOOKUP(B13,ИСХОДНИК!A:N,14,FALSE())</f>
        <v>215759.99999999997</v>
      </c>
      <c r="N13" s="104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4" ht="32.25" customHeight="1">
      <c r="B14" s="97" t="s">
        <v>461</v>
      </c>
      <c r="C14" s="134" t="str">
        <f>VLOOKUP(B14,ИСХОДНИК!A:N,5,FALSE())</f>
        <v>SNV-L G1/2-W1/2 ANG + ниппель DN 10</v>
      </c>
      <c r="D14" s="105" t="s">
        <v>267</v>
      </c>
      <c r="E14" s="137" t="s">
        <v>458</v>
      </c>
      <c r="F14" s="137" t="s">
        <v>459</v>
      </c>
      <c r="G14" s="137" t="str">
        <f>VLOOKUP(B14,ИСХОДНИК!A:N,10,FALSE())</f>
        <v>R717, R744 и фреоны</v>
      </c>
      <c r="H14" s="137">
        <f>VLOOKUP(B14,ИСХОДНИК!A:N,8,FALSE())</f>
        <v>52</v>
      </c>
      <c r="I14" s="137" t="str">
        <f>VLOOKUP(B14,ИСХОДНИК!A:N,9,FALSE())</f>
        <v xml:space="preserve"> -50…150</v>
      </c>
      <c r="J14" s="137" t="s">
        <v>460</v>
      </c>
      <c r="K14" s="105" t="str">
        <f>VLOOKUP(B14,ИСХОДНИК!A:O,15,FALSE())</f>
        <v>U6 PL40R</v>
      </c>
      <c r="L14" s="139">
        <f>VLOOKUP(B14,ИСХОДНИК!A:N,13,FALSE())</f>
        <v>186000</v>
      </c>
      <c r="M14" s="139">
        <f>VLOOKUP(B14,ИСХОДНИК!A:N,14,FALSE())</f>
        <v>215759.99999999997</v>
      </c>
      <c r="N14" s="104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4" ht="32.25" customHeight="1">
      <c r="B15" s="97" t="s">
        <v>462</v>
      </c>
      <c r="C15" s="134" t="str">
        <f>VLOOKUP(B15,ИСХОДНИК!A:N,5,FALSE())</f>
        <v>SNV-L G1/2-W1/2 ANG + ниппель DN 6</v>
      </c>
      <c r="D15" s="105" t="s">
        <v>267</v>
      </c>
      <c r="E15" s="137" t="s">
        <v>458</v>
      </c>
      <c r="F15" s="137" t="s">
        <v>459</v>
      </c>
      <c r="G15" s="137" t="str">
        <f>VLOOKUP(B15,ИСХОДНИК!A:N,10,FALSE())</f>
        <v>R717, R744 и фреоны</v>
      </c>
      <c r="H15" s="137">
        <f>VLOOKUP(B15,ИСХОДНИК!A:N,8,FALSE())</f>
        <v>52</v>
      </c>
      <c r="I15" s="137" t="str">
        <f>VLOOKUP(B15,ИСХОДНИК!A:N,9,FALSE())</f>
        <v xml:space="preserve"> -50…150</v>
      </c>
      <c r="J15" s="137" t="s">
        <v>460</v>
      </c>
      <c r="K15" s="105" t="str">
        <f>VLOOKUP(B15,ИСХОДНИК!A:O,15,FALSE())</f>
        <v>U6 PL40R</v>
      </c>
      <c r="L15" s="139">
        <f>VLOOKUP(B15,ИСХОДНИК!A:N,13,FALSE())</f>
        <v>186000</v>
      </c>
      <c r="M15" s="139">
        <f>VLOOKUP(B15,ИСХОДНИК!A:N,14,FALSE())</f>
        <v>215759.99999999997</v>
      </c>
      <c r="N15" s="104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4" ht="32.25" customHeight="1">
      <c r="B16" s="97" t="s">
        <v>463</v>
      </c>
      <c r="C16" s="134" t="str">
        <f>VLOOKUP(B16,ИСХОДНИК!A:N,5,FALSE())</f>
        <v>SNV-S G½ - G½  ANG + ниппель DN 10</v>
      </c>
      <c r="D16" s="105" t="s">
        <v>267</v>
      </c>
      <c r="E16" s="137" t="s">
        <v>458</v>
      </c>
      <c r="F16" s="137" t="s">
        <v>458</v>
      </c>
      <c r="G16" s="137" t="str">
        <f>VLOOKUP(B16,ИСХОДНИК!A:N,10,FALSE())</f>
        <v>R717 и фреоны</v>
      </c>
      <c r="H16" s="137">
        <f>VLOOKUP(B16,ИСХОДНИК!A:N,8,FALSE())</f>
        <v>40</v>
      </c>
      <c r="I16" s="137" t="str">
        <f>VLOOKUP(B16,ИСХОДНИК!A:N,9,FALSE())</f>
        <v xml:space="preserve"> -50…150</v>
      </c>
      <c r="J16" s="137" t="s">
        <v>460</v>
      </c>
      <c r="K16" s="105" t="str">
        <f>VLOOKUP(B16,ИСХОДНИК!A:O,15,FALSE())</f>
        <v>U6 PL40R</v>
      </c>
      <c r="L16" s="139">
        <f>VLOOKUP(B16,ИСХОДНИК!A:N,13,FALSE())</f>
        <v>96000</v>
      </c>
      <c r="M16" s="139">
        <f>VLOOKUP(B16,ИСХОДНИК!A:N,14,FALSE())</f>
        <v>111359.99999999999</v>
      </c>
      <c r="N16" s="104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4" ht="32.25" customHeight="1">
      <c r="B17" s="97" t="s">
        <v>464</v>
      </c>
      <c r="C17" s="134" t="str">
        <f>VLOOKUP(B17,ИСХОДНИК!A:N,5,FALSE())</f>
        <v>SNV-S G½ - G½  STR + ниппель DN 10</v>
      </c>
      <c r="D17" s="105" t="s">
        <v>257</v>
      </c>
      <c r="E17" s="137" t="s">
        <v>458</v>
      </c>
      <c r="F17" s="137" t="s">
        <v>458</v>
      </c>
      <c r="G17" s="137" t="str">
        <f>VLOOKUP(B17,ИСХОДНИК!A:N,10,FALSE())</f>
        <v>R717 и фреоны</v>
      </c>
      <c r="H17" s="137">
        <f>VLOOKUP(B17,ИСХОДНИК!A:N,8,FALSE())</f>
        <v>40</v>
      </c>
      <c r="I17" s="137" t="str">
        <f>VLOOKUP(B17,ИСХОДНИК!A:N,9,FALSE())</f>
        <v xml:space="preserve"> -50…150</v>
      </c>
      <c r="J17" s="137" t="s">
        <v>460</v>
      </c>
      <c r="K17" s="105" t="str">
        <f>VLOOKUP(B17,ИСХОДНИК!A:O,15,FALSE())</f>
        <v>U6 PL40R</v>
      </c>
      <c r="L17" s="139">
        <f>VLOOKUP(B17,ИСХОДНИК!A:N,13,FALSE())</f>
        <v>96000</v>
      </c>
      <c r="M17" s="139">
        <f>VLOOKUP(B17,ИСХОДНИК!A:N,14,FALSE())</f>
        <v>111359.99999999999</v>
      </c>
      <c r="N17" s="140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4" ht="32.25" customHeight="1">
      <c r="B18" s="97" t="s">
        <v>465</v>
      </c>
      <c r="C18" s="134" t="str">
        <f>VLOOKUP(B18,ИСХОДНИК!A:N,5,FALSE())</f>
        <v>SNV-S  FPT¼ - FPT¼ ANG + заглушка</v>
      </c>
      <c r="D18" s="105" t="s">
        <v>267</v>
      </c>
      <c r="E18" s="137" t="s">
        <v>466</v>
      </c>
      <c r="F18" s="137" t="s">
        <v>466</v>
      </c>
      <c r="G18" s="137" t="str">
        <f>VLOOKUP(B18,ИСХОДНИК!A:N,10,FALSE())</f>
        <v>R717 и фреоны</v>
      </c>
      <c r="H18" s="137">
        <f>VLOOKUP(B18,ИСХОДНИК!A:N,8,FALSE())</f>
        <v>40</v>
      </c>
      <c r="I18" s="137" t="str">
        <f>VLOOKUP(B18,ИСХОДНИК!A:N,9,FALSE())</f>
        <v xml:space="preserve"> -50…150</v>
      </c>
      <c r="J18" s="137" t="s">
        <v>460</v>
      </c>
      <c r="K18" s="105" t="str">
        <f>VLOOKUP(B18,ИСХОДНИК!A:O,15,FALSE())</f>
        <v>U6 PL40R</v>
      </c>
      <c r="L18" s="139">
        <f>VLOOKUP(B18,ИСХОДНИК!A:N,13,FALSE())</f>
        <v>96000</v>
      </c>
      <c r="M18" s="139">
        <f>VLOOKUP(B18,ИСХОДНИК!A:N,14,FALSE())</f>
        <v>111359.99999999999</v>
      </c>
      <c r="N18" s="140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14" ht="32.25" customHeight="1">
      <c r="B19" s="97" t="s">
        <v>467</v>
      </c>
      <c r="C19" s="134" t="str">
        <f>VLOOKUP(B19,ИСХОДНИК!A:N,5,FALSE())</f>
        <v>SNV-S  MPT¼ - FPT¼  ANG + заглушка</v>
      </c>
      <c r="D19" s="105" t="s">
        <v>267</v>
      </c>
      <c r="E19" s="137" t="s">
        <v>468</v>
      </c>
      <c r="F19" s="137" t="s">
        <v>466</v>
      </c>
      <c r="G19" s="137" t="str">
        <f>VLOOKUP(B19,ИСХОДНИК!A:N,10,FALSE())</f>
        <v>R717 и фреоны</v>
      </c>
      <c r="H19" s="137">
        <f>VLOOKUP(B19,ИСХОДНИК!A:N,8,FALSE())</f>
        <v>40</v>
      </c>
      <c r="I19" s="137" t="str">
        <f>VLOOKUP(B19,ИСХОДНИК!A:N,9,FALSE())</f>
        <v xml:space="preserve"> -50…150</v>
      </c>
      <c r="J19" s="137" t="s">
        <v>460</v>
      </c>
      <c r="K19" s="105" t="str">
        <f>VLOOKUP(B19,ИСХОДНИК!A:O,15,FALSE())</f>
        <v>U6 PL40R</v>
      </c>
      <c r="L19" s="139">
        <f>VLOOKUP(B19,ИСХОДНИК!A:N,13,FALSE())</f>
        <v>96000</v>
      </c>
      <c r="M19" s="139">
        <f>VLOOKUP(B19,ИСХОДНИК!A:N,14,FALSE())</f>
        <v>111359.99999999999</v>
      </c>
      <c r="N19" s="140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14" ht="23.25" customHeight="1">
      <c r="B20" s="530" t="s">
        <v>469</v>
      </c>
      <c r="C20" s="530"/>
    </row>
    <row r="21" spans="2:14" ht="19.5" customHeight="1">
      <c r="B21" s="531" t="s">
        <v>457</v>
      </c>
      <c r="C21" s="532" t="s">
        <v>470</v>
      </c>
      <c r="D21" s="532"/>
      <c r="E21" s="532"/>
      <c r="F21" s="532"/>
      <c r="G21" s="277" t="s">
        <v>471</v>
      </c>
    </row>
    <row r="22" spans="2:14" ht="19.5" customHeight="1">
      <c r="B22" s="531"/>
      <c r="C22" s="533" t="s">
        <v>472</v>
      </c>
      <c r="D22" s="533"/>
      <c r="E22" s="533"/>
      <c r="F22" s="533"/>
      <c r="G22" s="278" t="s">
        <v>471</v>
      </c>
    </row>
    <row r="23" spans="2:14" ht="19.5" customHeight="1">
      <c r="B23" s="531"/>
      <c r="C23" s="534" t="s">
        <v>473</v>
      </c>
      <c r="D23" s="534"/>
      <c r="E23" s="534"/>
      <c r="F23" s="534"/>
      <c r="G23" s="279" t="s">
        <v>471</v>
      </c>
    </row>
    <row r="24" spans="2:14" ht="19.5" customHeight="1">
      <c r="B24" s="531" t="s">
        <v>461</v>
      </c>
      <c r="C24" s="532" t="s">
        <v>474</v>
      </c>
      <c r="D24" s="532"/>
      <c r="E24" s="532"/>
      <c r="F24" s="532"/>
      <c r="G24" s="277" t="s">
        <v>471</v>
      </c>
    </row>
    <row r="25" spans="2:14" ht="19.5" customHeight="1">
      <c r="B25" s="531"/>
      <c r="C25" s="533" t="s">
        <v>475</v>
      </c>
      <c r="D25" s="533"/>
      <c r="E25" s="533"/>
      <c r="F25" s="533"/>
      <c r="G25" s="278" t="s">
        <v>471</v>
      </c>
    </row>
    <row r="26" spans="2:14" ht="19.5" customHeight="1">
      <c r="B26" s="531"/>
      <c r="C26" s="534" t="s">
        <v>476</v>
      </c>
      <c r="D26" s="534"/>
      <c r="E26" s="534"/>
      <c r="F26" s="534"/>
      <c r="G26" s="279" t="s">
        <v>471</v>
      </c>
    </row>
    <row r="27" spans="2:14" ht="19.5" customHeight="1">
      <c r="B27" s="531" t="s">
        <v>462</v>
      </c>
      <c r="C27" s="532" t="s">
        <v>474</v>
      </c>
      <c r="D27" s="532"/>
      <c r="E27" s="532"/>
      <c r="F27" s="532"/>
      <c r="G27" s="277" t="s">
        <v>471</v>
      </c>
    </row>
    <row r="28" spans="2:14" ht="19.5" customHeight="1">
      <c r="B28" s="531"/>
      <c r="C28" s="533" t="s">
        <v>477</v>
      </c>
      <c r="D28" s="533"/>
      <c r="E28" s="533"/>
      <c r="F28" s="533"/>
      <c r="G28" s="278" t="s">
        <v>471</v>
      </c>
    </row>
    <row r="29" spans="2:14" ht="19.5" customHeight="1">
      <c r="B29" s="531"/>
      <c r="C29" s="534" t="s">
        <v>476</v>
      </c>
      <c r="D29" s="534"/>
      <c r="E29" s="534"/>
      <c r="F29" s="534"/>
      <c r="G29" s="279" t="s">
        <v>471</v>
      </c>
    </row>
    <row r="30" spans="2:14" ht="19.5" customHeight="1">
      <c r="B30" s="531" t="s">
        <v>463</v>
      </c>
      <c r="C30" s="532" t="s">
        <v>478</v>
      </c>
      <c r="D30" s="532"/>
      <c r="E30" s="532"/>
      <c r="F30" s="532"/>
      <c r="G30" s="277" t="s">
        <v>471</v>
      </c>
    </row>
    <row r="31" spans="2:14" ht="19.5" customHeight="1">
      <c r="B31" s="531"/>
      <c r="C31" s="533" t="s">
        <v>475</v>
      </c>
      <c r="D31" s="533"/>
      <c r="E31" s="533"/>
      <c r="F31" s="533"/>
      <c r="G31" s="278" t="s">
        <v>479</v>
      </c>
    </row>
    <row r="32" spans="2:14" ht="19.5" customHeight="1">
      <c r="B32" s="531"/>
      <c r="C32" s="534" t="s">
        <v>476</v>
      </c>
      <c r="D32" s="534"/>
      <c r="E32" s="534"/>
      <c r="F32" s="534"/>
      <c r="G32" s="279" t="s">
        <v>479</v>
      </c>
    </row>
    <row r="33" spans="2:7" ht="19.5" customHeight="1">
      <c r="B33" s="531" t="s">
        <v>464</v>
      </c>
      <c r="C33" s="532" t="s">
        <v>480</v>
      </c>
      <c r="D33" s="532"/>
      <c r="E33" s="532"/>
      <c r="F33" s="532"/>
      <c r="G33" s="277" t="s">
        <v>471</v>
      </c>
    </row>
    <row r="34" spans="2:7" ht="19.5" customHeight="1">
      <c r="B34" s="531"/>
      <c r="C34" s="495" t="s">
        <v>475</v>
      </c>
      <c r="D34" s="495"/>
      <c r="E34" s="495"/>
      <c r="F34" s="495"/>
      <c r="G34" s="278" t="s">
        <v>479</v>
      </c>
    </row>
    <row r="35" spans="2:7" ht="19.5" customHeight="1">
      <c r="B35" s="531"/>
      <c r="C35" s="535" t="s">
        <v>476</v>
      </c>
      <c r="D35" s="535"/>
      <c r="E35" s="535"/>
      <c r="F35" s="535"/>
      <c r="G35" s="279" t="s">
        <v>479</v>
      </c>
    </row>
    <row r="36" spans="2:7" ht="19.5" customHeight="1">
      <c r="B36" s="531" t="s">
        <v>465</v>
      </c>
      <c r="C36" s="532" t="s">
        <v>481</v>
      </c>
      <c r="D36" s="532"/>
      <c r="E36" s="532"/>
      <c r="F36" s="532"/>
      <c r="G36" s="277" t="s">
        <v>471</v>
      </c>
    </row>
    <row r="37" spans="2:7" ht="19.5" customHeight="1">
      <c r="B37" s="531"/>
      <c r="C37" s="536" t="s">
        <v>482</v>
      </c>
      <c r="D37" s="536"/>
      <c r="E37" s="536"/>
      <c r="F37" s="536"/>
      <c r="G37" s="278" t="s">
        <v>471</v>
      </c>
    </row>
    <row r="38" spans="2:7" ht="19.5" customHeight="1">
      <c r="B38" s="531"/>
      <c r="C38" s="535" t="s">
        <v>473</v>
      </c>
      <c r="D38" s="535"/>
      <c r="E38" s="535"/>
      <c r="F38" s="535"/>
      <c r="G38" s="279" t="s">
        <v>471</v>
      </c>
    </row>
    <row r="39" spans="2:7" ht="19.5" customHeight="1">
      <c r="B39" s="531" t="s">
        <v>467</v>
      </c>
      <c r="C39" s="532" t="s">
        <v>483</v>
      </c>
      <c r="D39" s="532"/>
      <c r="E39" s="532"/>
      <c r="F39" s="532"/>
      <c r="G39" s="277" t="s">
        <v>471</v>
      </c>
    </row>
    <row r="40" spans="2:7" ht="19.5" customHeight="1">
      <c r="B40" s="531"/>
      <c r="C40" s="495" t="s">
        <v>484</v>
      </c>
      <c r="D40" s="495"/>
      <c r="E40" s="495"/>
      <c r="F40" s="495"/>
      <c r="G40" s="278" t="s">
        <v>471</v>
      </c>
    </row>
    <row r="41" spans="2:7" ht="19.5" customHeight="1">
      <c r="B41" s="531"/>
      <c r="C41" s="535" t="s">
        <v>473</v>
      </c>
      <c r="D41" s="535"/>
      <c r="E41" s="535"/>
      <c r="F41" s="535"/>
      <c r="G41" s="279" t="s">
        <v>471</v>
      </c>
    </row>
  </sheetData>
  <mergeCells count="43">
    <mergeCell ref="B36:B38"/>
    <mergeCell ref="C36:F36"/>
    <mergeCell ref="C37:F37"/>
    <mergeCell ref="C38:F38"/>
    <mergeCell ref="B39:B41"/>
    <mergeCell ref="C39:F39"/>
    <mergeCell ref="C40:F40"/>
    <mergeCell ref="C41:F41"/>
    <mergeCell ref="B30:B32"/>
    <mergeCell ref="C30:F30"/>
    <mergeCell ref="C31:F31"/>
    <mergeCell ref="C32:F32"/>
    <mergeCell ref="B33:B35"/>
    <mergeCell ref="C33:F33"/>
    <mergeCell ref="C34:F34"/>
    <mergeCell ref="C35:F35"/>
    <mergeCell ref="B24:B26"/>
    <mergeCell ref="C24:F24"/>
    <mergeCell ref="C25:F25"/>
    <mergeCell ref="C26:F26"/>
    <mergeCell ref="B27:B29"/>
    <mergeCell ref="C27:F27"/>
    <mergeCell ref="C28:F28"/>
    <mergeCell ref="C29:F29"/>
    <mergeCell ref="B20:C20"/>
    <mergeCell ref="B21:B23"/>
    <mergeCell ref="C21:F21"/>
    <mergeCell ref="C22:F22"/>
    <mergeCell ref="C23:F23"/>
    <mergeCell ref="B3:H3"/>
    <mergeCell ref="K10:N10"/>
    <mergeCell ref="B11:B12"/>
    <mergeCell ref="C11:C12"/>
    <mergeCell ref="D11:D12"/>
    <mergeCell ref="E11:F11"/>
    <mergeCell ref="G11:G12"/>
    <mergeCell ref="H11:H12"/>
    <mergeCell ref="I11:I12"/>
    <mergeCell ref="J11:J12"/>
    <mergeCell ref="K11:K12"/>
    <mergeCell ref="L11:L12"/>
    <mergeCell ref="M11:M12"/>
    <mergeCell ref="N11:N12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showGridLines="0" topLeftCell="A15" zoomScaleNormal="100" workbookViewId="0">
      <selection activeCell="M30" sqref="M30"/>
    </sheetView>
  </sheetViews>
  <sheetFormatPr defaultColWidth="9.1796875" defaultRowHeight="12" customHeight="1"/>
  <cols>
    <col min="1" max="1" width="2.1796875" style="107" customWidth="1"/>
    <col min="2" max="2" width="15.81640625" style="108" customWidth="1"/>
    <col min="3" max="3" width="14.453125" style="107" customWidth="1"/>
    <col min="4" max="4" width="13.1796875" style="107" customWidth="1"/>
    <col min="5" max="5" width="25.7265625" style="107" customWidth="1"/>
    <col min="6" max="6" width="10" style="107" customWidth="1"/>
    <col min="7" max="7" width="18.81640625" style="107" customWidth="1"/>
    <col min="8" max="8" width="13" style="107" customWidth="1"/>
    <col min="9" max="9" width="20" style="107" customWidth="1"/>
    <col min="10" max="11" width="17.453125" style="107" hidden="1" customWidth="1"/>
    <col min="12" max="12" width="12.1796875" style="107" customWidth="1"/>
    <col min="13" max="13" width="13.1796875" style="107" customWidth="1"/>
    <col min="14" max="14" width="11.1796875" style="107" customWidth="1"/>
    <col min="15" max="15" width="7.54296875" style="107" customWidth="1"/>
    <col min="16" max="16384" width="9.1796875" style="107"/>
  </cols>
  <sheetData>
    <row r="1" spans="1:15" ht="11.25" customHeight="1"/>
    <row r="2" spans="1:15" ht="41.25" customHeight="1">
      <c r="B2" s="213" t="s">
        <v>485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1"/>
    </row>
    <row r="3" spans="1:15" ht="79.5" customHeight="1">
      <c r="B3" s="491" t="s">
        <v>486</v>
      </c>
      <c r="C3" s="491"/>
      <c r="D3" s="491"/>
      <c r="E3" s="491"/>
      <c r="F3" s="491"/>
      <c r="G3" s="491"/>
      <c r="H3" s="112"/>
      <c r="I3" s="113"/>
      <c r="J3" s="113"/>
      <c r="K3" s="113"/>
      <c r="L3" s="113"/>
      <c r="M3" s="113"/>
      <c r="N3" s="113"/>
      <c r="O3" s="114"/>
    </row>
    <row r="4" spans="1:15" ht="9.75" customHeight="1">
      <c r="B4" s="76" t="s">
        <v>58</v>
      </c>
      <c r="C4" s="115" t="s">
        <v>59</v>
      </c>
      <c r="D4" s="164"/>
      <c r="E4" s="116"/>
      <c r="F4" s="116"/>
      <c r="G4" s="117"/>
      <c r="H4" s="113"/>
      <c r="I4" s="113"/>
      <c r="J4" s="113"/>
      <c r="K4" s="113"/>
      <c r="L4" s="113"/>
      <c r="M4" s="113"/>
      <c r="N4" s="113"/>
      <c r="O4" s="114"/>
    </row>
    <row r="5" spans="1:15" ht="10.5" customHeight="1">
      <c r="B5" s="78" t="s">
        <v>61</v>
      </c>
      <c r="C5" s="115" t="s">
        <v>62</v>
      </c>
      <c r="D5" s="164"/>
      <c r="E5" s="116"/>
      <c r="F5" s="116"/>
      <c r="G5" s="117"/>
      <c r="H5" s="113"/>
      <c r="I5" s="113"/>
      <c r="J5" s="113"/>
      <c r="K5" s="113"/>
      <c r="L5" s="113"/>
      <c r="M5" s="113"/>
      <c r="N5" s="113"/>
      <c r="O5" s="114"/>
    </row>
    <row r="6" spans="1:15" ht="11.25" customHeight="1">
      <c r="B6" s="80" t="s">
        <v>65</v>
      </c>
      <c r="C6" s="115" t="s">
        <v>66</v>
      </c>
      <c r="D6" s="164"/>
      <c r="E6" s="116"/>
      <c r="F6" s="116"/>
      <c r="G6" s="117"/>
      <c r="H6" s="113"/>
      <c r="I6" s="113"/>
      <c r="J6" s="113"/>
      <c r="K6" s="113"/>
      <c r="L6" s="113"/>
      <c r="M6" s="113"/>
      <c r="N6" s="113"/>
      <c r="O6" s="114"/>
    </row>
    <row r="7" spans="1:15" ht="11.25" customHeight="1">
      <c r="B7" s="80"/>
      <c r="C7" s="115"/>
      <c r="D7" s="164"/>
      <c r="E7" s="116"/>
      <c r="F7" s="116"/>
      <c r="G7" s="117"/>
      <c r="H7" s="113"/>
      <c r="I7" s="113"/>
      <c r="J7" s="113"/>
      <c r="K7" s="113"/>
      <c r="L7" s="113"/>
      <c r="M7" s="113"/>
      <c r="N7" s="113"/>
      <c r="O7" s="114"/>
    </row>
    <row r="8" spans="1:15" ht="15" customHeight="1">
      <c r="B8" s="118"/>
      <c r="C8" s="119"/>
      <c r="D8" s="119"/>
      <c r="E8" s="120"/>
      <c r="F8" s="120"/>
      <c r="G8" s="117"/>
      <c r="H8" s="113"/>
      <c r="I8" s="113"/>
      <c r="J8" s="113"/>
      <c r="K8" s="113"/>
      <c r="L8" s="113"/>
      <c r="M8" s="113"/>
      <c r="N8" s="113"/>
      <c r="O8" s="114"/>
    </row>
    <row r="9" spans="1:15" ht="15" customHeight="1">
      <c r="A9" s="121"/>
      <c r="B9" s="122"/>
      <c r="C9" s="74"/>
      <c r="D9" s="74"/>
      <c r="E9" s="123"/>
      <c r="F9" s="123"/>
      <c r="G9" s="117"/>
      <c r="H9" s="113"/>
      <c r="I9" s="113"/>
      <c r="J9" s="113"/>
      <c r="K9" s="113"/>
      <c r="L9" s="113"/>
      <c r="M9" s="113"/>
      <c r="N9" s="113"/>
      <c r="O9" s="114"/>
    </row>
    <row r="10" spans="1:15" ht="10.5" customHeight="1">
      <c r="B10" s="260"/>
      <c r="C10" s="125"/>
      <c r="D10" s="125"/>
      <c r="E10" s="125"/>
      <c r="F10" s="125"/>
      <c r="G10" s="125"/>
      <c r="H10" s="125"/>
      <c r="I10" s="125"/>
      <c r="J10" s="125"/>
      <c r="K10" s="125"/>
      <c r="L10" s="512"/>
      <c r="M10" s="512"/>
      <c r="N10" s="512"/>
      <c r="O10" s="512"/>
    </row>
    <row r="11" spans="1:15" ht="40.5">
      <c r="B11" s="95" t="s">
        <v>72</v>
      </c>
      <c r="C11" s="95" t="s">
        <v>90</v>
      </c>
      <c r="D11" s="95" t="s">
        <v>487</v>
      </c>
      <c r="E11" s="95" t="s">
        <v>91</v>
      </c>
      <c r="F11" s="95" t="s">
        <v>81</v>
      </c>
      <c r="G11" s="95" t="s">
        <v>84</v>
      </c>
      <c r="H11" s="95" t="s">
        <v>99</v>
      </c>
      <c r="I11" s="95" t="s">
        <v>83</v>
      </c>
      <c r="J11" s="208" t="s">
        <v>100</v>
      </c>
      <c r="K11" s="208" t="s">
        <v>101</v>
      </c>
      <c r="L11" s="208" t="s">
        <v>67</v>
      </c>
      <c r="M11" s="95" t="s">
        <v>74</v>
      </c>
      <c r="N11" s="95" t="s">
        <v>75</v>
      </c>
      <c r="O11" s="242" t="s">
        <v>55</v>
      </c>
    </row>
    <row r="12" spans="1:15" ht="30" customHeight="1">
      <c r="B12" s="97" t="s">
        <v>102</v>
      </c>
      <c r="C12" s="143" t="s">
        <v>488</v>
      </c>
      <c r="D12" s="105" t="s">
        <v>489</v>
      </c>
      <c r="E12" s="134" t="str">
        <f>VLOOKUP(B12,ИСХОДНИК!A:P,11,FALSE())</f>
        <v>Под сварку встык DIN</v>
      </c>
      <c r="F12" s="105">
        <f>VLOOKUP(B12,ИСХОДНИК!A:P,7,FALSE())</f>
        <v>15</v>
      </c>
      <c r="G12" s="137" t="str">
        <f>VLOOKUP(B12,ИСХОДНИК!A:P,10,FALSE())</f>
        <v>R717, R744 и фреоны</v>
      </c>
      <c r="H12" s="137">
        <f>VLOOKUP(B12,ИСХОДНИК!A:P,8,FALSE())</f>
        <v>65</v>
      </c>
      <c r="I12" s="137" t="str">
        <f>VLOOKUP(B12,ИСХОДНИК!A:P,9,FALSE())</f>
        <v xml:space="preserve"> -60…120</v>
      </c>
      <c r="J12" s="138"/>
      <c r="K12" s="137"/>
      <c r="L12" s="105" t="str">
        <f>VLOOKUP(B12,ИСХОДНИК!A:P,15,FALSE())</f>
        <v>U6 PL40R</v>
      </c>
      <c r="M12" s="139">
        <f>VLOOKUP(B12,ИСХОДНИК!A:P,13,FALSE())</f>
        <v>297000</v>
      </c>
      <c r="N12" s="139">
        <f>VLOOKUP(B12,ИСХОДНИК!A:P,14,FALSE())</f>
        <v>344520</v>
      </c>
      <c r="O12" s="140" t="str">
        <f>IF(VLOOKUP(B12,ИСХОДНИК!A:R,18,FALSE())=1,ИСХОДНИК!$T$2,IF(VLOOKUP(B12,ИСХОДНИК!A:R,18,FALSE())=2,ИСХОДНИК!$T$5,IF(VLOOKUP(B12,ИСХОДНИК!A:R,18,FALSE())=3,ИСХОДНИК!$T$6)))</f>
        <v>●</v>
      </c>
    </row>
    <row r="13" spans="1:15" ht="30" customHeight="1">
      <c r="B13" s="97" t="s">
        <v>105</v>
      </c>
      <c r="C13" s="143" t="s">
        <v>490</v>
      </c>
      <c r="D13" s="105" t="s">
        <v>489</v>
      </c>
      <c r="E13" s="134" t="str">
        <f>VLOOKUP(B13,ИСХОДНИК!A:P,11,FALSE())</f>
        <v>Под сварку встык DIN</v>
      </c>
      <c r="F13" s="105">
        <f>VLOOKUP(B13,ИСХОДНИК!A:P,7,FALSE())</f>
        <v>20</v>
      </c>
      <c r="G13" s="137" t="str">
        <f>VLOOKUP(B13,ИСХОДНИК!A:P,10,FALSE())</f>
        <v>R717, R744 и фреоны</v>
      </c>
      <c r="H13" s="137">
        <f>VLOOKUP(B13,ИСХОДНИК!A:P,8,FALSE())</f>
        <v>65</v>
      </c>
      <c r="I13" s="137" t="str">
        <f>VLOOKUP(B13,ИСХОДНИК!A:P,9,FALSE())</f>
        <v xml:space="preserve"> -60…120</v>
      </c>
      <c r="J13" s="138"/>
      <c r="K13" s="137"/>
      <c r="L13" s="105" t="str">
        <f>VLOOKUP(B13,ИСХОДНИК!A:P,15,FALSE())</f>
        <v>U6 PL40R</v>
      </c>
      <c r="M13" s="139">
        <f>VLOOKUP(B13,ИСХОДНИК!A:P,13,FALSE())</f>
        <v>324000</v>
      </c>
      <c r="N13" s="139">
        <f>VLOOKUP(B13,ИСХОДНИК!A:P,14,FALSE())</f>
        <v>375840</v>
      </c>
      <c r="O13" s="140" t="str">
        <f>IF(VLOOKUP(B13,ИСХОДНИК!A:R,18,FALSE())=1,ИСХОДНИК!$T$2,IF(VLOOKUP(B13,ИСХОДНИК!A:R,18,FALSE())=2,ИСХОДНИК!$T$5,IF(VLOOKUP(B13,ИСХОДНИК!A:R,18,FALSE())=3,ИСХОДНИК!$T$6)))</f>
        <v>●</v>
      </c>
    </row>
    <row r="14" spans="1:15" ht="28.5" customHeight="1">
      <c r="B14" s="97" t="s">
        <v>491</v>
      </c>
      <c r="C14" s="98" t="str">
        <f>VLOOKUP(B14,ИСХОДНИК!A:P,5,FALSE())</f>
        <v>EVRAT 10</v>
      </c>
      <c r="D14" s="105" t="s">
        <v>489</v>
      </c>
      <c r="E14" s="134" t="str">
        <f>VLOOKUP(B14,ИСХОДНИК!A:P,11,FALSE())</f>
        <v>Фланец. Ответные фланцы под сварку DIN</v>
      </c>
      <c r="F14" s="105">
        <f>VLOOKUP(B14,ИСХОДНИК!A:P,7,FALSE())</f>
        <v>10</v>
      </c>
      <c r="G14" s="137" t="str">
        <f>VLOOKUP(B14,ИСХОДНИК!A:P,10,FALSE())</f>
        <v>R717 и фреоны</v>
      </c>
      <c r="H14" s="137">
        <f>VLOOKUP(B14,ИСХОДНИК!A:P,8,FALSE())</f>
        <v>40</v>
      </c>
      <c r="I14" s="137" t="str">
        <f>VLOOKUP(B14,ИСХОДНИК!A:P,9,FALSE())</f>
        <v xml:space="preserve"> -45…105</v>
      </c>
      <c r="J14" s="138">
        <v>0</v>
      </c>
      <c r="K14" s="137"/>
      <c r="L14" s="105" t="str">
        <f>VLOOKUP(B14,ИСХОДНИК!A:P,15,FALSE())</f>
        <v>U6 PL40R</v>
      </c>
      <c r="M14" s="139">
        <f>VLOOKUP(B14,ИСХОДНИК!A:P,13,FALSE())</f>
        <v>186000</v>
      </c>
      <c r="N14" s="139">
        <f>VLOOKUP(B14,ИСХОДНИК!A:P,14,FALSE())</f>
        <v>215759.99999999997</v>
      </c>
      <c r="O14" s="104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5" ht="28.5" customHeight="1">
      <c r="B15" s="97" t="s">
        <v>492</v>
      </c>
      <c r="C15" s="98" t="str">
        <f>VLOOKUP(B15,ИСХОДНИК!A:P,5,FALSE())</f>
        <v>EVRAT 15</v>
      </c>
      <c r="D15" s="105" t="s">
        <v>489</v>
      </c>
      <c r="E15" s="134" t="str">
        <f>VLOOKUP(B15,ИСХОДНИК!A:P,11,FALSE())</f>
        <v>Фланец. Ответные фланцы под сварку DIN</v>
      </c>
      <c r="F15" s="105">
        <f>VLOOKUP(B15,ИСХОДНИК!A:P,7,FALSE())</f>
        <v>15</v>
      </c>
      <c r="G15" s="137" t="str">
        <f>VLOOKUP(B15,ИСХОДНИК!A:P,10,FALSE())</f>
        <v>R717 и фреоны</v>
      </c>
      <c r="H15" s="137">
        <f>VLOOKUP(B15,ИСХОДНИК!A:P,8,FALSE())</f>
        <v>40</v>
      </c>
      <c r="I15" s="137" t="str">
        <f>VLOOKUP(B15,ИСХОДНИК!A:P,9,FALSE())</f>
        <v xml:space="preserve"> -45…105</v>
      </c>
      <c r="J15" s="137">
        <v>0</v>
      </c>
      <c r="K15" s="137"/>
      <c r="L15" s="105" t="str">
        <f>VLOOKUP(B15,ИСХОДНИК!A:P,15,FALSE())</f>
        <v>U6 PL40R</v>
      </c>
      <c r="M15" s="139">
        <f>VLOOKUP(B15,ИСХОДНИК!A:P,13,FALSE())</f>
        <v>186000</v>
      </c>
      <c r="N15" s="139">
        <f>VLOOKUP(B15,ИСХОДНИК!A:P,14,FALSE())</f>
        <v>215759.99999999997</v>
      </c>
      <c r="O15" s="104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5" ht="28.5" customHeight="1">
      <c r="B16" s="97" t="s">
        <v>493</v>
      </c>
      <c r="C16" s="98" t="str">
        <f>VLOOKUP(B16,ИСХОДНИК!A:P,5,FALSE())</f>
        <v>EVRA 20</v>
      </c>
      <c r="D16" s="105" t="s">
        <v>489</v>
      </c>
      <c r="E16" s="134" t="str">
        <f>VLOOKUP(B16,ИСХОДНИК!A:P,11,FALSE())</f>
        <v>Фланец. Ответные фланцы под сварку DIN</v>
      </c>
      <c r="F16" s="105">
        <f>VLOOKUP(B16,ИСХОДНИК!A:P,7,FALSE())</f>
        <v>20</v>
      </c>
      <c r="G16" s="137" t="str">
        <f>VLOOKUP(B16,ИСХОДНИК!A:P,10,FALSE())</f>
        <v>R717 и фреоны</v>
      </c>
      <c r="H16" s="137">
        <f>VLOOKUP(B16,ИСХОДНИК!A:P,8,FALSE())</f>
        <v>40</v>
      </c>
      <c r="I16" s="137" t="str">
        <f>VLOOKUP(B16,ИСХОДНИК!A:P,9,FALSE())</f>
        <v xml:space="preserve"> -45…105</v>
      </c>
      <c r="J16" s="137">
        <v>0.2</v>
      </c>
      <c r="K16" s="137"/>
      <c r="L16" s="105" t="str">
        <f>VLOOKUP(B16,ИСХОДНИК!A:P,15,FALSE())</f>
        <v>U6 PL40R</v>
      </c>
      <c r="M16" s="139">
        <f>VLOOKUP(B16,ИСХОДНИК!A:P,13,FALSE())</f>
        <v>213000</v>
      </c>
      <c r="N16" s="139">
        <f>VLOOKUP(B16,ИСХОДНИК!A:P,14,FALSE())</f>
        <v>247079.99999999997</v>
      </c>
      <c r="O16" s="104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6" ht="28.5" customHeight="1">
      <c r="B17" s="97" t="s">
        <v>494</v>
      </c>
      <c r="C17" s="98" t="str">
        <f>VLOOKUP(B17,ИСХОДНИК!A:P,5,FALSE())</f>
        <v>EVRA 25</v>
      </c>
      <c r="D17" s="105" t="s">
        <v>489</v>
      </c>
      <c r="E17" s="134" t="str">
        <f>VLOOKUP(B17,ИСХОДНИК!A:P,11,FALSE())</f>
        <v>Фланец. Ответные фланцы под сварку DIN</v>
      </c>
      <c r="F17" s="105">
        <f>VLOOKUP(B17,ИСХОДНИК!A:P,7,FALSE())</f>
        <v>25</v>
      </c>
      <c r="G17" s="137" t="str">
        <f>VLOOKUP(B17,ИСХОДНИК!A:P,10,FALSE())</f>
        <v>R717 и фреоны</v>
      </c>
      <c r="H17" s="137">
        <f>VLOOKUP(B17,ИСХОДНИК!A:P,8,FALSE())</f>
        <v>40</v>
      </c>
      <c r="I17" s="137" t="str">
        <f>VLOOKUP(B17,ИСХОДНИК!A:P,9,FALSE())</f>
        <v xml:space="preserve"> -45…105</v>
      </c>
      <c r="J17" s="137">
        <v>0.2</v>
      </c>
      <c r="K17" s="137"/>
      <c r="L17" s="105" t="str">
        <f>VLOOKUP(B17,ИСХОДНИК!A:P,15,FALSE())</f>
        <v>U6 PL40R</v>
      </c>
      <c r="M17" s="139">
        <f>VLOOKUP(B17,ИСХОДНИК!A:P,13,FALSE())</f>
        <v>213000</v>
      </c>
      <c r="N17" s="139">
        <f>VLOOKUP(B17,ИСХОДНИК!A:P,14,FALSE())</f>
        <v>247079.99999999997</v>
      </c>
      <c r="O17" s="104" t="str">
        <f>IF(VLOOKUP(B17,ИСХОДНИК!A:R,18,FALSE())=1,ИСХОДНИК!$T$2,IF(VLOOKUP(B17,ИСХОДНИК!A:R,18,FALSE())=2,ИСХОДНИК!$T$5,IF(VLOOKUP(B17,ИСХОДНИК!A:R,18,FALSE())=3,ИСХОДНИК!$T$6)))</f>
        <v>◑</v>
      </c>
    </row>
    <row r="18" spans="2:16" ht="28.5" customHeight="1">
      <c r="B18" s="97" t="s">
        <v>495</v>
      </c>
      <c r="C18" s="98" t="str">
        <f>VLOOKUP(B18,ИСХОДНИК!A:P,5,FALSE())</f>
        <v>EVRA 32</v>
      </c>
      <c r="D18" s="105" t="s">
        <v>496</v>
      </c>
      <c r="E18" s="134" t="str">
        <f>VLOOKUP(B18,ИСХОДНИК!A:P,11,FALSE())</f>
        <v>Фланец. Ответные фланцы под сварку DIN</v>
      </c>
      <c r="F18" s="105">
        <f>VLOOKUP(B18,ИСХОДНИК!A:P,7,FALSE())</f>
        <v>32</v>
      </c>
      <c r="G18" s="137" t="str">
        <f>VLOOKUP(B18,ИСХОДНИК!A:P,10,FALSE())</f>
        <v>R717 и фреоны</v>
      </c>
      <c r="H18" s="137">
        <f>VLOOKUP(B18,ИСХОДНИК!A:P,8,FALSE())</f>
        <v>40</v>
      </c>
      <c r="I18" s="137" t="str">
        <f>VLOOKUP(B18,ИСХОДНИК!A:P,9,FALSE())</f>
        <v xml:space="preserve"> -45…105</v>
      </c>
      <c r="J18" s="137">
        <v>0.2</v>
      </c>
      <c r="K18" s="137"/>
      <c r="L18" s="105" t="str">
        <f>VLOOKUP(B18,ИСХОДНИК!A:P,15,FALSE())</f>
        <v>U6 PL40R</v>
      </c>
      <c r="M18" s="139">
        <f>VLOOKUP(B18,ИСХОДНИК!A:P,13,FALSE())</f>
        <v>288000</v>
      </c>
      <c r="N18" s="139">
        <f>VLOOKUP(B18,ИСХОДНИК!A:P,14,FALSE())</f>
        <v>334080</v>
      </c>
      <c r="O18" s="104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6" ht="28.5" customHeight="1">
      <c r="B19" s="97" t="s">
        <v>497</v>
      </c>
      <c r="C19" s="98" t="str">
        <f>VLOOKUP(B19,ИСХОДНИК!A:P,5,FALSE())</f>
        <v>EVRA 40</v>
      </c>
      <c r="D19" s="105" t="s">
        <v>496</v>
      </c>
      <c r="E19" s="134" t="str">
        <f>VLOOKUP(B19,ИСХОДНИК!A:P,11,FALSE())</f>
        <v>Фланец. Ответные фланцы под сварку DIN</v>
      </c>
      <c r="F19" s="105">
        <f>VLOOKUP(B19,ИСХОДНИК!A:P,7,FALSE())</f>
        <v>40</v>
      </c>
      <c r="G19" s="137" t="str">
        <f>VLOOKUP(B19,ИСХОДНИК!A:P,10,FALSE())</f>
        <v>R717 и фреоны</v>
      </c>
      <c r="H19" s="137">
        <f>VLOOKUP(B19,ИСХОДНИК!A:P,8,FALSE())</f>
        <v>40</v>
      </c>
      <c r="I19" s="137" t="str">
        <f>VLOOKUP(B19,ИСХОДНИК!A:P,9,FALSE())</f>
        <v xml:space="preserve"> -45…105</v>
      </c>
      <c r="J19" s="137">
        <v>0.2</v>
      </c>
      <c r="K19" s="137"/>
      <c r="L19" s="105" t="str">
        <f>VLOOKUP(B19,ИСХОДНИК!A:P,15,FALSE())</f>
        <v>U6 PL40R</v>
      </c>
      <c r="M19" s="139">
        <f>VLOOKUP(B19,ИСХОДНИК!A:P,13,FALSE())</f>
        <v>300000</v>
      </c>
      <c r="N19" s="139">
        <f>VLOOKUP(B19,ИСХОДНИК!A:P,14,FALSE())</f>
        <v>348000</v>
      </c>
      <c r="O19" s="104" t="str">
        <f>IF(VLOOKUP(B19,ИСХОДНИК!A:R,18,FALSE())=1,ИСХОДНИК!$T$2,IF(VLOOKUP(B19,ИСХОДНИК!A:R,18,FALSE())=2,ИСХОДНИК!$T$5,IF(VLOOKUP(B19,ИСХОДНИК!A:R,18,FALSE())=3,ИСХОДНИК!$T$6)))</f>
        <v>◑</v>
      </c>
    </row>
    <row r="20" spans="2:16" ht="28.5" customHeight="1">
      <c r="B20" s="97" t="s">
        <v>498</v>
      </c>
      <c r="C20" s="98" t="str">
        <f>VLOOKUP(B20,ИСХОДНИК!A:P,5,FALSE())</f>
        <v>EVRA 50</v>
      </c>
      <c r="D20" s="105" t="s">
        <v>496</v>
      </c>
      <c r="E20" s="134" t="str">
        <f>VLOOKUP(B20,ИСХОДНИК!A:P,11,FALSE())</f>
        <v>Фланец. Ответные фланцы под сварку DIN</v>
      </c>
      <c r="F20" s="105">
        <f>VLOOKUP(B20,ИСХОДНИК!A:P,7,FALSE())</f>
        <v>50</v>
      </c>
      <c r="G20" s="137" t="str">
        <f>VLOOKUP(B20,ИСХОДНИК!A:P,10,FALSE())</f>
        <v>R717 и фреоны</v>
      </c>
      <c r="H20" s="137">
        <f>VLOOKUP(B20,ИСХОДНИК!A:P,8,FALSE())</f>
        <v>40</v>
      </c>
      <c r="I20" s="137" t="str">
        <f>VLOOKUP(B20,ИСХОДНИК!A:P,9,FALSE())</f>
        <v xml:space="preserve"> -45…105</v>
      </c>
      <c r="J20" s="137">
        <v>0.2</v>
      </c>
      <c r="K20" s="137"/>
      <c r="L20" s="105" t="str">
        <f>VLOOKUP(B20,ИСХОДНИК!A:P,15,FALSE())</f>
        <v>U6 PL40R</v>
      </c>
      <c r="M20" s="139">
        <f>VLOOKUP(B20,ИСХОДНИК!A:P,13,FALSE())</f>
        <v>330000</v>
      </c>
      <c r="N20" s="139">
        <f>VLOOKUP(B20,ИСХОДНИК!A:P,14,FALSE())</f>
        <v>382800</v>
      </c>
      <c r="O20" s="140" t="str">
        <f>IF(VLOOKUP(B20,ИСХОДНИК!A:R,18,FALSE())=1,ИСХОДНИК!$T$2,IF(VLOOKUP(B20,ИСХОДНИК!A:R,18,FALSE())=2,ИСХОДНИК!$T$5,IF(VLOOKUP(B20,ИСХОДНИК!A:R,18,FALSE())=3,ИСХОДНИК!$T$6)))</f>
        <v>○</v>
      </c>
    </row>
    <row r="21" spans="2:16" ht="13.5">
      <c r="B21" s="144" t="s">
        <v>499</v>
      </c>
      <c r="C21" s="145"/>
      <c r="D21" s="145"/>
      <c r="E21" s="146"/>
      <c r="F21" s="145"/>
      <c r="G21" s="147"/>
      <c r="H21" s="147"/>
      <c r="I21" s="147"/>
      <c r="J21" s="147"/>
      <c r="K21" s="147"/>
      <c r="L21" s="145"/>
      <c r="M21" s="148"/>
      <c r="N21" s="148"/>
      <c r="O21" s="149"/>
      <c r="P21" s="150"/>
    </row>
    <row r="22" spans="2:16" ht="23.25" customHeight="1">
      <c r="B22" s="151" t="s">
        <v>129</v>
      </c>
    </row>
    <row r="23" spans="2:16" ht="32.75" customHeight="1">
      <c r="B23" s="95" t="s">
        <v>72</v>
      </c>
      <c r="C23" s="494" t="s">
        <v>90</v>
      </c>
      <c r="D23" s="494"/>
      <c r="E23" s="95" t="s">
        <v>130</v>
      </c>
      <c r="F23" s="95" t="s">
        <v>131</v>
      </c>
      <c r="G23" s="95" t="s">
        <v>132</v>
      </c>
      <c r="H23" s="95" t="s">
        <v>133</v>
      </c>
      <c r="I23" s="95" t="s">
        <v>134</v>
      </c>
      <c r="J23" s="95" t="s">
        <v>74</v>
      </c>
      <c r="K23" s="95" t="s">
        <v>75</v>
      </c>
      <c r="L23" s="95" t="s">
        <v>67</v>
      </c>
      <c r="M23" s="95" t="s">
        <v>74</v>
      </c>
      <c r="N23" s="95" t="s">
        <v>75</v>
      </c>
      <c r="O23" s="152" t="s">
        <v>55</v>
      </c>
    </row>
    <row r="24" spans="2:16" ht="22.5" customHeight="1">
      <c r="B24" s="153" t="s">
        <v>137</v>
      </c>
      <c r="C24" s="495" t="str">
        <f>VLOOKUP(B24,ИСХОДНИК!A:P,5,FALSE())</f>
        <v>BE230AS</v>
      </c>
      <c r="D24" s="495"/>
      <c r="E24" s="105">
        <v>220</v>
      </c>
      <c r="F24" s="105">
        <v>50</v>
      </c>
      <c r="G24" s="137" t="s">
        <v>138</v>
      </c>
      <c r="H24" s="105">
        <v>10</v>
      </c>
      <c r="I24" s="105" t="s">
        <v>139</v>
      </c>
      <c r="J24" s="105">
        <v>39</v>
      </c>
      <c r="K24" s="105">
        <v>46.8</v>
      </c>
      <c r="L24" s="105" t="str">
        <f>VLOOKUP(B24,ИСХОДНИК!A:P,15,FALSE())</f>
        <v>U6 PL40R</v>
      </c>
      <c r="M24" s="139">
        <f>VLOOKUP(B24,ИСХОДНИК!A:P,13,FALSE())</f>
        <v>21000</v>
      </c>
      <c r="N24" s="139">
        <f>VLOOKUP(B24,ИСХОДНИК!A:P,14,FALSE())</f>
        <v>24360</v>
      </c>
      <c r="O24" s="140" t="str">
        <f>IF(VLOOKUP(B24,ИСХОДНИК!A:R,18,FALSE())=1,ИСХОДНИК!$T$2,IF(VLOOKUP(B24,ИСХОДНИК!A:R,18,FALSE())=2,ИСХОДНИК!$T$5,IF(VLOOKUP(B24,ИСХОДНИК!A:R,18,FALSE())=3,ИСХОДНИК!$T$6)))</f>
        <v>●</v>
      </c>
    </row>
    <row r="25" spans="2:16" ht="22.5" customHeight="1">
      <c r="B25" s="153" t="s">
        <v>140</v>
      </c>
      <c r="C25" s="495" t="str">
        <f>VLOOKUP(B25,ИСХОДНИК!A:P,5,FALSE())</f>
        <v>BE024AS</v>
      </c>
      <c r="D25" s="495"/>
      <c r="E25" s="105">
        <v>24</v>
      </c>
      <c r="F25" s="105">
        <v>50</v>
      </c>
      <c r="G25" s="137" t="s">
        <v>138</v>
      </c>
      <c r="H25" s="105">
        <v>10</v>
      </c>
      <c r="I25" s="105" t="s">
        <v>139</v>
      </c>
      <c r="J25" s="105"/>
      <c r="K25" s="105"/>
      <c r="L25" s="105" t="str">
        <f>VLOOKUP(B25,ИСХОДНИК!A:P,15,FALSE())</f>
        <v>U6 PL40R</v>
      </c>
      <c r="M25" s="139">
        <f>VLOOKUP(B25,ИСХОДНИК!A:P,13,FALSE())</f>
        <v>27000</v>
      </c>
      <c r="N25" s="139">
        <f>VLOOKUP(B25,ИСХОДНИК!A:P,14,FALSE())</f>
        <v>31319.999999999996</v>
      </c>
      <c r="O25" s="140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16" ht="17.5">
      <c r="B26" s="153" t="s">
        <v>141</v>
      </c>
      <c r="C26" s="495" t="str">
        <f>VLOOKUP(B26,ИСХОДНИК!A:P,5,FALSE())</f>
        <v>BN230AS</v>
      </c>
      <c r="D26" s="495"/>
      <c r="E26" s="105">
        <v>220</v>
      </c>
      <c r="F26" s="105">
        <v>50</v>
      </c>
      <c r="G26" s="137" t="s">
        <v>138</v>
      </c>
      <c r="H26" s="105">
        <v>18</v>
      </c>
      <c r="I26" s="105" t="s">
        <v>142</v>
      </c>
      <c r="J26" s="105">
        <v>39</v>
      </c>
      <c r="K26" s="105">
        <v>46.8</v>
      </c>
      <c r="L26" s="105" t="str">
        <f>VLOOKUP(B26,ИСХОДНИК!A:P,15,FALSE())</f>
        <v>U6 PL40R</v>
      </c>
      <c r="M26" s="139">
        <f>VLOOKUP(B26,ИСХОДНИК!A:P,13,FALSE())</f>
        <v>35400</v>
      </c>
      <c r="N26" s="139">
        <f>VLOOKUP(B26,ИСХОДНИК!A:P,14,FALSE())</f>
        <v>41064</v>
      </c>
      <c r="O26" s="104" t="str">
        <f>IF(VLOOKUP(B26,ИСХОДНИК!A:R,18,FALSE())=1,ИСХОДНИК!$T$2,IF(VLOOKUP(B26,ИСХОДНИК!A:R,18,FALSE())=2,ИСХОДНИК!$T$5,IF(VLOOKUP(B26,ИСХОДНИК!A:R,18,FALSE())=3,ИСХОДНИК!$T$6)))</f>
        <v>◑</v>
      </c>
    </row>
    <row r="28" spans="2:16" ht="13.5">
      <c r="B28" s="516" t="s">
        <v>199</v>
      </c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</row>
    <row r="29" spans="2:16" ht="43.5" customHeight="1">
      <c r="B29" s="95" t="s">
        <v>72</v>
      </c>
      <c r="C29" s="517" t="s">
        <v>365</v>
      </c>
      <c r="D29" s="517"/>
      <c r="E29" s="517"/>
      <c r="F29" s="517"/>
      <c r="G29" s="244"/>
      <c r="H29" s="244"/>
      <c r="I29" s="127" t="s">
        <v>319</v>
      </c>
      <c r="L29" s="208" t="s">
        <v>67</v>
      </c>
      <c r="M29" s="95" t="s">
        <v>74</v>
      </c>
      <c r="N29" s="95" t="s">
        <v>75</v>
      </c>
      <c r="O29" s="152" t="s">
        <v>55</v>
      </c>
    </row>
    <row r="30" spans="2:16" ht="41.25" customHeight="1">
      <c r="B30" s="153" t="s">
        <v>500</v>
      </c>
      <c r="C30" s="495" t="str">
        <f>VLOOKUP(B30,ИСХОДНИК!A:P,3,FALSE())</f>
        <v>Ревизионный набор прокладок DN 10-15. PM, EVRAT, CVH</v>
      </c>
      <c r="D30" s="495"/>
      <c r="E30" s="495"/>
      <c r="F30" s="495"/>
      <c r="I30" s="105">
        <v>1</v>
      </c>
      <c r="L30" s="105" t="str">
        <f>VLOOKUP(B30,ИСХОДНИК!A:P,15,FALSE())</f>
        <v>U6 PL40R</v>
      </c>
      <c r="M30" s="139">
        <f>VLOOKUP(B30,ИСХОДНИК!A:P,13,FALSE())</f>
        <v>18000</v>
      </c>
      <c r="N30" s="139">
        <f>VLOOKUP(B30,ИСХОДНИК!A:P,14,FALSE())</f>
        <v>20880</v>
      </c>
      <c r="O30" s="104" t="str">
        <f>IF(VLOOKUP(B30,ИСХОДНИК!A:R,18,FALSE())=1,ИСХОДНИК!$T$2,IF(VLOOKUP(B30,ИСХОДНИК!A:R,18,FALSE())=2,ИСХОДНИК!$T$5,IF(VLOOKUP(B30,ИСХОДНИК!A:R,18,FALSE())=3,ИСХОДНИК!$T$6)))</f>
        <v>◑</v>
      </c>
    </row>
    <row r="31" spans="2:16" ht="41.25" customHeight="1">
      <c r="B31" s="153" t="s">
        <v>501</v>
      </c>
      <c r="C31" s="495" t="str">
        <f>VLOOKUP(B31,ИСХОДНИК!A:P,3,FALSE())</f>
        <v>Ревизионный набор прокладок DN 20-25. PM, EVRAT, CVH</v>
      </c>
      <c r="D31" s="495"/>
      <c r="E31" s="495"/>
      <c r="F31" s="495"/>
      <c r="I31" s="105">
        <v>1</v>
      </c>
      <c r="L31" s="105" t="str">
        <f>VLOOKUP(B31,ИСХОДНИК!A:P,15,FALSE())</f>
        <v>U6 PL40R</v>
      </c>
      <c r="M31" s="139">
        <f>VLOOKUP(B31,ИСХОДНИК!A:P,13,FALSE())</f>
        <v>21000</v>
      </c>
      <c r="N31" s="139">
        <f>VLOOKUP(B31,ИСХОДНИК!A:P,14,FALSE())</f>
        <v>24360</v>
      </c>
      <c r="O31" s="104" t="str">
        <f>IF(VLOOKUP(B31,ИСХОДНИК!A:R,18,FALSE())=1,ИСХОДНИК!$T$2,IF(VLOOKUP(B31,ИСХОДНИК!A:R,18,FALSE())=2,ИСХОДНИК!$T$5,IF(VLOOKUP(B31,ИСХОДНИК!A:R,18,FALSE())=3,ИСХОДНИК!$T$6)))</f>
        <v>◑</v>
      </c>
    </row>
    <row r="32" spans="2:16" ht="41.25" customHeight="1">
      <c r="B32" s="153" t="s">
        <v>502</v>
      </c>
      <c r="C32" s="495" t="str">
        <f>VLOOKUP(B32,ИСХОДНИК!A:P,3,FALSE())</f>
        <v>Кольцевая прокладка для EVRA(T) 10-25</v>
      </c>
      <c r="D32" s="495"/>
      <c r="E32" s="495"/>
      <c r="F32" s="495"/>
      <c r="I32" s="105">
        <v>2</v>
      </c>
      <c r="L32" s="280" t="str">
        <f>VLOOKUP(B32,ИСХОДНИК!A:P,15,FALSE())</f>
        <v>U6 PL40R</v>
      </c>
      <c r="M32" s="139">
        <f>VLOOKUP(B32,ИСХОДНИК!A:P,13,FALSE())</f>
        <v>11400</v>
      </c>
      <c r="N32" s="139">
        <f>VLOOKUP(B32,ИСХОДНИК!A:P,14,FALSE())</f>
        <v>13223.999999999998</v>
      </c>
      <c r="O32" s="104" t="str">
        <f>IF(VLOOKUP(B32,ИСХОДНИК!A:R,18,FALSE())=1,ИСХОДНИК!$T$2,IF(VLOOKUP(B32,ИСХОДНИК!A:R,18,FALSE())=2,ИСХОДНИК!$T$5,IF(VLOOKUP(B32,ИСХОДНИК!A:R,18,FALSE())=3,ИСХОДНИК!$T$6)))</f>
        <v>◑</v>
      </c>
    </row>
    <row r="33" spans="2:15" ht="41.25" customHeight="1">
      <c r="B33" s="97" t="s">
        <v>503</v>
      </c>
      <c r="C33" s="508" t="str">
        <f>VLOOKUP(B33,ИСХОДНИК!A:P,3,FALSE())</f>
        <v>Ремонтный комплект сердечника для клапанов EVM-NC и EVRA. Мультипак 5 комплектов.</v>
      </c>
      <c r="D33" s="508"/>
      <c r="E33" s="508"/>
      <c r="F33" s="508"/>
      <c r="G33" s="205"/>
      <c r="H33" s="206"/>
      <c r="I33" s="105">
        <v>3</v>
      </c>
      <c r="L33" s="280" t="str">
        <f>VLOOKUP(B33,ИСХОДНИК!A:P,15,FALSE())</f>
        <v>U6 PL40R</v>
      </c>
      <c r="M33" s="139">
        <f>VLOOKUP(B33,ИСХОДНИК!A:P,13,FALSE())</f>
        <v>90000</v>
      </c>
      <c r="N33" s="139">
        <f>VLOOKUP(B33,ИСХОДНИК!A:P,14,FALSE())</f>
        <v>104400</v>
      </c>
      <c r="O33" s="104" t="str">
        <f>IF(VLOOKUP(B33,ИСХОДНИК!A:R,18,FALSE())=1,ИСХОДНИК!$T$2,IF(VLOOKUP(B33,ИСХОДНИК!A:R,18,FALSE())=2,ИСХОДНИК!$T$5,IF(VLOOKUP(B33,ИСХОДНИК!A:R,18,FALSE())=3,ИСХОДНИК!$T$6)))</f>
        <v>◑</v>
      </c>
    </row>
  </sheetData>
  <autoFilter ref="B11:O11" xr:uid="{00000000-0009-0000-0000-00000A000000}"/>
  <mergeCells count="12">
    <mergeCell ref="C32:F32"/>
    <mergeCell ref="C33:F33"/>
    <mergeCell ref="C26:D26"/>
    <mergeCell ref="B28:M28"/>
    <mergeCell ref="C29:F29"/>
    <mergeCell ref="C30:F30"/>
    <mergeCell ref="C31:F31"/>
    <mergeCell ref="B3:G3"/>
    <mergeCell ref="L10:O10"/>
    <mergeCell ref="C23:D23"/>
    <mergeCell ref="C24:D24"/>
    <mergeCell ref="C25:D25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5"/>
  <sheetViews>
    <sheetView showGridLines="0" topLeftCell="A25" zoomScaleNormal="100" workbookViewId="0">
      <selection activeCell="P61" sqref="P61"/>
    </sheetView>
  </sheetViews>
  <sheetFormatPr defaultColWidth="9.1796875" defaultRowHeight="12.75" customHeight="1"/>
  <cols>
    <col min="1" max="1" width="2.1796875" customWidth="1"/>
    <col min="2" max="2" width="15.453125" style="216" customWidth="1"/>
    <col min="3" max="3" width="14.453125" customWidth="1"/>
    <col min="4" max="4" width="25.7265625" customWidth="1"/>
    <col min="6" max="6" width="25" customWidth="1"/>
    <col min="7" max="7" width="12.1796875" customWidth="1"/>
    <col min="8" max="8" width="17.453125" customWidth="1"/>
    <col min="9" max="9" width="17.453125" hidden="1" customWidth="1"/>
    <col min="10" max="10" width="17.453125" customWidth="1"/>
    <col min="11" max="11" width="12.54296875" customWidth="1"/>
    <col min="12" max="12" width="11.1796875" customWidth="1"/>
    <col min="13" max="13" width="5.453125" customWidth="1"/>
    <col min="14" max="14" width="6.453125" customWidth="1"/>
    <col min="15" max="15" width="6" customWidth="1"/>
    <col min="17" max="17" width="11.1796875" customWidth="1"/>
    <col min="18" max="18" width="12.453125" customWidth="1"/>
    <col min="19" max="20" width="10.81640625" customWidth="1"/>
  </cols>
  <sheetData>
    <row r="1" spans="1:21" ht="11.25" customHeight="1">
      <c r="A1" s="15"/>
      <c r="B1" s="281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1" ht="42" customHeight="1">
      <c r="B2" s="109" t="s">
        <v>504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82"/>
      <c r="O2" s="497" t="s">
        <v>505</v>
      </c>
      <c r="P2" s="497"/>
      <c r="Q2" s="497"/>
      <c r="R2" s="497"/>
      <c r="S2" s="497"/>
      <c r="T2" s="497"/>
      <c r="U2" s="497"/>
    </row>
    <row r="3" spans="1:21" ht="54.75" customHeight="1">
      <c r="B3" s="491" t="s">
        <v>506</v>
      </c>
      <c r="C3" s="491"/>
      <c r="D3" s="491"/>
      <c r="E3" s="491"/>
      <c r="F3" s="491"/>
      <c r="G3" s="491"/>
      <c r="H3" s="491"/>
      <c r="I3" s="113"/>
      <c r="J3" s="113"/>
      <c r="K3" s="113"/>
      <c r="L3" s="113"/>
      <c r="M3" s="114"/>
      <c r="O3" s="31"/>
      <c r="P3" s="30"/>
      <c r="Q3" s="537"/>
      <c r="R3" s="537"/>
      <c r="S3" s="30"/>
      <c r="T3" s="30"/>
      <c r="U3" s="29"/>
    </row>
    <row r="4" spans="1:21" ht="10.5" customHeight="1">
      <c r="B4" s="76" t="s">
        <v>58</v>
      </c>
      <c r="C4" s="115" t="s">
        <v>59</v>
      </c>
      <c r="D4" s="164"/>
      <c r="E4" s="116"/>
      <c r="F4" s="116"/>
      <c r="G4" s="219"/>
      <c r="H4" s="113"/>
      <c r="I4" s="113"/>
      <c r="J4" s="113"/>
      <c r="K4" s="113"/>
      <c r="L4" s="113"/>
      <c r="M4" s="114"/>
      <c r="O4" s="31"/>
      <c r="P4" s="30"/>
      <c r="Q4" s="30"/>
      <c r="R4" s="30"/>
      <c r="S4" s="30"/>
      <c r="T4" s="30"/>
      <c r="U4" s="29"/>
    </row>
    <row r="5" spans="1:21" ht="10.5" customHeight="1">
      <c r="B5" s="78" t="s">
        <v>61</v>
      </c>
      <c r="C5" s="115" t="s">
        <v>62</v>
      </c>
      <c r="D5" s="164"/>
      <c r="E5" s="116"/>
      <c r="F5" s="116"/>
      <c r="G5" s="219"/>
      <c r="H5" s="113"/>
      <c r="I5" s="113"/>
      <c r="J5" s="113"/>
      <c r="K5" s="113"/>
      <c r="L5" s="113"/>
      <c r="M5" s="114"/>
      <c r="O5" s="31"/>
      <c r="P5" s="30"/>
      <c r="Q5" s="30"/>
      <c r="R5" s="30"/>
      <c r="S5" s="30"/>
      <c r="T5" s="30"/>
      <c r="U5" s="29"/>
    </row>
    <row r="6" spans="1:21" ht="12.75" customHeight="1">
      <c r="B6" s="80" t="s">
        <v>65</v>
      </c>
      <c r="C6" s="115" t="s">
        <v>66</v>
      </c>
      <c r="D6" s="164"/>
      <c r="E6" s="116"/>
      <c r="F6" s="116"/>
      <c r="G6" s="219"/>
      <c r="H6" s="113"/>
      <c r="I6" s="113"/>
      <c r="J6" s="113"/>
      <c r="K6" s="113"/>
      <c r="L6" s="113"/>
      <c r="M6" s="114"/>
      <c r="O6" s="31"/>
      <c r="P6" s="30"/>
      <c r="Q6" s="30"/>
      <c r="R6" s="30"/>
      <c r="S6" s="30"/>
      <c r="T6" s="30"/>
      <c r="U6" s="29"/>
    </row>
    <row r="7" spans="1:21" ht="12.75" customHeight="1">
      <c r="B7" s="80"/>
      <c r="C7" s="115"/>
      <c r="D7" s="164"/>
      <c r="E7" s="116"/>
      <c r="F7" s="116"/>
      <c r="G7" s="219"/>
      <c r="H7" s="113"/>
      <c r="I7" s="113"/>
      <c r="J7" s="113"/>
      <c r="K7" s="113"/>
      <c r="L7" s="113"/>
      <c r="M7" s="114"/>
      <c r="O7" s="31"/>
      <c r="P7" s="30"/>
      <c r="Q7" s="30"/>
      <c r="R7" s="30"/>
      <c r="S7" s="30"/>
      <c r="T7" s="30"/>
      <c r="U7" s="29"/>
    </row>
    <row r="8" spans="1:21" ht="15" customHeight="1">
      <c r="B8" s="118"/>
      <c r="C8" s="119"/>
      <c r="D8" s="119"/>
      <c r="E8" s="120"/>
      <c r="F8" s="120"/>
      <c r="G8" s="219"/>
      <c r="H8" s="113"/>
      <c r="I8" s="113"/>
      <c r="J8" s="113"/>
      <c r="K8" s="113"/>
      <c r="L8" s="113"/>
      <c r="M8" s="114"/>
      <c r="O8" s="167"/>
      <c r="P8" s="168"/>
      <c r="Q8" s="30"/>
      <c r="R8" s="30"/>
      <c r="S8" s="538"/>
      <c r="T8" s="538"/>
      <c r="U8" s="538"/>
    </row>
    <row r="9" spans="1:21" ht="15" customHeight="1">
      <c r="A9" s="32"/>
      <c r="B9" s="122"/>
      <c r="C9" s="74"/>
      <c r="D9" s="74"/>
      <c r="E9" s="123"/>
      <c r="F9" s="123"/>
      <c r="G9" s="219"/>
      <c r="H9" s="113"/>
      <c r="I9" s="113"/>
      <c r="J9" s="113"/>
      <c r="K9" s="113"/>
      <c r="L9" s="113"/>
      <c r="M9" s="114"/>
      <c r="O9" s="169"/>
      <c r="P9" s="170"/>
      <c r="Q9" s="539"/>
      <c r="R9" s="539"/>
      <c r="S9" s="540"/>
      <c r="T9" s="540"/>
      <c r="U9" s="540"/>
    </row>
    <row r="10" spans="1:21" ht="18" customHeight="1">
      <c r="B10" s="541" t="s">
        <v>507</v>
      </c>
      <c r="C10" s="541"/>
      <c r="D10" s="541"/>
      <c r="E10" s="541"/>
      <c r="F10" s="541"/>
      <c r="G10" s="541"/>
      <c r="H10" s="541"/>
      <c r="I10" s="82"/>
      <c r="J10" s="492"/>
      <c r="K10" s="492"/>
      <c r="L10" s="492"/>
      <c r="M10" s="492"/>
      <c r="O10" s="542" t="s">
        <v>147</v>
      </c>
      <c r="P10" s="542" t="s">
        <v>81</v>
      </c>
      <c r="Q10" s="543" t="s">
        <v>508</v>
      </c>
      <c r="R10" s="543"/>
      <c r="S10" s="544" t="s">
        <v>509</v>
      </c>
      <c r="T10" s="544"/>
      <c r="U10" s="544"/>
    </row>
    <row r="11" spans="1:21" ht="42" customHeight="1">
      <c r="B11" s="95" t="s">
        <v>72</v>
      </c>
      <c r="C11" s="95" t="s">
        <v>90</v>
      </c>
      <c r="D11" s="95" t="s">
        <v>91</v>
      </c>
      <c r="E11" s="95" t="s">
        <v>81</v>
      </c>
      <c r="F11" s="95" t="s">
        <v>84</v>
      </c>
      <c r="G11" s="95" t="s">
        <v>82</v>
      </c>
      <c r="H11" s="95" t="s">
        <v>83</v>
      </c>
      <c r="I11" s="95" t="s">
        <v>100</v>
      </c>
      <c r="J11" s="95" t="s">
        <v>67</v>
      </c>
      <c r="K11" s="95" t="s">
        <v>74</v>
      </c>
      <c r="L11" s="95" t="s">
        <v>75</v>
      </c>
      <c r="M11" s="209" t="s">
        <v>55</v>
      </c>
      <c r="O11" s="542"/>
      <c r="P11" s="542"/>
      <c r="Q11" s="284" t="s">
        <v>151</v>
      </c>
      <c r="R11" s="178" t="s">
        <v>152</v>
      </c>
      <c r="S11" s="285" t="s">
        <v>510</v>
      </c>
      <c r="T11" s="283" t="s">
        <v>152</v>
      </c>
      <c r="U11" s="283" t="s">
        <v>511</v>
      </c>
    </row>
    <row r="12" spans="1:21" ht="17.25" customHeight="1">
      <c r="B12" s="97" t="s">
        <v>512</v>
      </c>
      <c r="C12" s="98" t="str">
        <f>VLOOKUP(B12,ИСХОДНИК!A:P,5,FALSE())</f>
        <v>ICS-R 20 D</v>
      </c>
      <c r="D12" s="134" t="str">
        <f>VLOOKUP(B12,ИСХОДНИК!A:P,11,FALSE())</f>
        <v>Под сварку встык DIN</v>
      </c>
      <c r="E12" s="105">
        <f>VLOOKUP(B12,ИСХОДНИК!A:P,7,FALSE())</f>
        <v>20</v>
      </c>
      <c r="F12" s="137" t="str">
        <f>VLOOKUP(B12,ИСХОДНИК!A:P,10,FALSE())</f>
        <v>R717, R744 и фреоны</v>
      </c>
      <c r="G12" s="137">
        <f>VLOOKUP(B12,ИСХОДНИК!A:P,8,FALSE())</f>
        <v>52</v>
      </c>
      <c r="H12" s="181" t="str">
        <f>VLOOKUP(B12,ИСХОДНИК!A:P,9,FALSE())</f>
        <v xml:space="preserve"> -50…120</v>
      </c>
      <c r="I12" s="138" t="s">
        <v>513</v>
      </c>
      <c r="J12" s="105" t="str">
        <f>VLOOKUP(B12,ИСХОДНИК!A:P,15,FALSE())</f>
        <v>U6 PL40R</v>
      </c>
      <c r="K12" s="139">
        <f>VLOOKUP(B12,ИСХОДНИК!A:P,13,FALSE())</f>
        <v>294000</v>
      </c>
      <c r="L12" s="139">
        <f>VLOOKUP(B12,ИСХОДНИК!A:P,14,FALSE())</f>
        <v>341040</v>
      </c>
      <c r="M12" s="104" t="str">
        <f>IF(VLOOKUP(B12,ИСХОДНИК!A:R,18,FALSE())=1,ИСХОДНИК!$T$2,IF(VLOOKUP(B12,ИСХОДНИК!A:R,18,FALSE())=2,ИСХОДНИК!$T$5,IF(VLOOKUP(B12,ИСХОДНИК!A:R,18,FALSE())=3,ИСХОДНИК!$T$6)))</f>
        <v>◑</v>
      </c>
      <c r="O12" s="137">
        <v>1</v>
      </c>
      <c r="P12" s="105">
        <v>20</v>
      </c>
      <c r="Q12" s="183">
        <v>26.9</v>
      </c>
      <c r="R12" s="184">
        <v>2.2999999999999998</v>
      </c>
      <c r="S12" s="286">
        <v>22.08</v>
      </c>
      <c r="T12" s="286">
        <v>7</v>
      </c>
      <c r="U12" s="286">
        <v>12</v>
      </c>
    </row>
    <row r="13" spans="1:21" ht="17.25" customHeight="1">
      <c r="B13" s="97" t="s">
        <v>514</v>
      </c>
      <c r="C13" s="98" t="str">
        <f>VLOOKUP(B13,ИСХОДНИК!A:P,5,FALSE())</f>
        <v>ICS-R 20 SD</v>
      </c>
      <c r="D13" s="134" t="str">
        <f>VLOOKUP(B13,ИСХОДНИК!A:P,11,FALSE())</f>
        <v xml:space="preserve">Под пайку SD </v>
      </c>
      <c r="E13" s="105">
        <f>VLOOKUP(B13,ИСХОДНИК!A:P,7,FALSE())</f>
        <v>20</v>
      </c>
      <c r="F13" s="137" t="str">
        <f>VLOOKUP(B13,ИСХОДНИК!A:P,10,FALSE())</f>
        <v>R717, R744 и фреоны</v>
      </c>
      <c r="G13" s="137">
        <f>VLOOKUP(B13,ИСХОДНИК!A:P,8,FALSE())</f>
        <v>52</v>
      </c>
      <c r="H13" s="181" t="str">
        <f>VLOOKUP(B13,ИСХОДНИК!A:P,9,FALSE())</f>
        <v xml:space="preserve"> -50…120</v>
      </c>
      <c r="I13" s="138" t="s">
        <v>515</v>
      </c>
      <c r="J13" s="105" t="str">
        <f>VLOOKUP(B13,ИСХОДНИК!A:P,15,FALSE())</f>
        <v>U6 PL40R</v>
      </c>
      <c r="K13" s="139">
        <f>VLOOKUP(B13,ИСХОДНИК!A:P,13,FALSE())</f>
        <v>294000</v>
      </c>
      <c r="L13" s="139">
        <f>VLOOKUP(B13,ИСХОДНИК!A:P,14,FALSE())</f>
        <v>341040</v>
      </c>
      <c r="M13" s="140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O13" s="105">
        <v>2</v>
      </c>
      <c r="P13" s="105">
        <v>25</v>
      </c>
      <c r="Q13" s="184">
        <v>33.700000000000003</v>
      </c>
      <c r="R13" s="184">
        <v>2.6</v>
      </c>
      <c r="S13" s="286">
        <v>28.08</v>
      </c>
      <c r="T13" s="286">
        <v>4</v>
      </c>
      <c r="U13" s="286">
        <v>12</v>
      </c>
    </row>
    <row r="14" spans="1:21" ht="17.25" customHeight="1">
      <c r="B14" s="97" t="s">
        <v>516</v>
      </c>
      <c r="C14" s="98" t="str">
        <f>VLOOKUP(B14,ИСХОДНИК!A:P,5,FALSE())</f>
        <v>ICS-R 25 D</v>
      </c>
      <c r="D14" s="134" t="str">
        <f>VLOOKUP(B14,ИСХОДНИК!A:P,11,FALSE())</f>
        <v>Под сварку встык DIN</v>
      </c>
      <c r="E14" s="105">
        <f>VLOOKUP(B14,ИСХОДНИК!A:P,7,FALSE())</f>
        <v>25</v>
      </c>
      <c r="F14" s="137" t="str">
        <f>VLOOKUP(B14,ИСХОДНИК!A:P,10,FALSE())</f>
        <v>R717, R744 и фреоны</v>
      </c>
      <c r="G14" s="137">
        <f>VLOOKUP(B14,ИСХОДНИК!A:P,8,FALSE())</f>
        <v>52</v>
      </c>
      <c r="H14" s="181" t="str">
        <f>VLOOKUP(B14,ИСХОДНИК!A:P,9,FALSE())</f>
        <v xml:space="preserve"> -50…120</v>
      </c>
      <c r="I14" s="138" t="s">
        <v>513</v>
      </c>
      <c r="J14" s="105" t="str">
        <f>VLOOKUP(B14,ИСХОДНИК!A:P,15,FALSE())</f>
        <v>U6 PL40R</v>
      </c>
      <c r="K14" s="139">
        <f>VLOOKUP(B14,ИСХОДНИК!A:P,13,FALSE())</f>
        <v>372000</v>
      </c>
      <c r="L14" s="139">
        <f>VLOOKUP(B14,ИСХОДНИК!A:P,14,FALSE())</f>
        <v>431519.99999999994</v>
      </c>
      <c r="M14" s="104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O14" s="105">
        <v>3</v>
      </c>
      <c r="P14" s="105">
        <v>32</v>
      </c>
      <c r="Q14" s="184">
        <v>42.4</v>
      </c>
      <c r="R14" s="184">
        <v>2.6</v>
      </c>
      <c r="S14" s="286">
        <v>35.07</v>
      </c>
      <c r="T14" s="286">
        <v>8</v>
      </c>
      <c r="U14" s="286">
        <v>15</v>
      </c>
    </row>
    <row r="15" spans="1:21" ht="17.25" customHeight="1">
      <c r="B15" s="97" t="s">
        <v>517</v>
      </c>
      <c r="C15" s="98" t="str">
        <f>VLOOKUP(B15,ИСХОДНИК!A:P,5,FALSE())</f>
        <v>ICS-R 25 SD</v>
      </c>
      <c r="D15" s="134" t="str">
        <f>VLOOKUP(B15,ИСХОДНИК!A:P,11,FALSE())</f>
        <v xml:space="preserve">Под пайку SD </v>
      </c>
      <c r="E15" s="105">
        <f>VLOOKUP(B15,ИСХОДНИК!A:P,7,FALSE())</f>
        <v>25</v>
      </c>
      <c r="F15" s="137" t="str">
        <f>VLOOKUP(B15,ИСХОДНИК!A:P,10,FALSE())</f>
        <v>R717, R744 и фреоны</v>
      </c>
      <c r="G15" s="137">
        <f>VLOOKUP(B15,ИСХОДНИК!A:P,8,FALSE())</f>
        <v>52</v>
      </c>
      <c r="H15" s="181" t="str">
        <f>VLOOKUP(B15,ИСХОДНИК!A:P,9,FALSE())</f>
        <v xml:space="preserve"> -50…120</v>
      </c>
      <c r="I15" s="138" t="s">
        <v>515</v>
      </c>
      <c r="J15" s="105" t="str">
        <f>VLOOKUP(B15,ИСХОДНИК!A:P,15,FALSE())</f>
        <v>U6 PL40R</v>
      </c>
      <c r="K15" s="139">
        <f>VLOOKUP(B15,ИСХОДНИК!A:P,13,FALSE())</f>
        <v>372000</v>
      </c>
      <c r="L15" s="139">
        <f>VLOOKUP(B15,ИСХОДНИК!A:P,14,FALSE())</f>
        <v>431519.99999999994</v>
      </c>
      <c r="M15" s="104" t="str">
        <f>IF(VLOOKUP(B15,ИСХОДНИК!A:R,18,FALSE())=1,ИСХОДНИК!$T$2,IF(VLOOKUP(B15,ИСХОДНИК!A:R,18,FALSE())=2,ИСХОДНИК!$T$5,IF(VLOOKUP(B15,ИСХОДНИК!A:R,18,FALSE())=3,ИСХОДНИК!$T$6)))</f>
        <v>◑</v>
      </c>
      <c r="O15" s="105">
        <v>4</v>
      </c>
      <c r="P15" s="105">
        <v>40</v>
      </c>
      <c r="Q15" s="184">
        <v>48.3</v>
      </c>
      <c r="R15" s="184">
        <v>2.6</v>
      </c>
      <c r="S15" s="286">
        <v>42.07</v>
      </c>
      <c r="T15" s="286">
        <v>4.5</v>
      </c>
      <c r="U15" s="286">
        <v>15</v>
      </c>
    </row>
    <row r="16" spans="1:21" ht="17.25" customHeight="1">
      <c r="B16" s="97" t="s">
        <v>518</v>
      </c>
      <c r="C16" s="98" t="str">
        <f>VLOOKUP(B16,ИСХОДНИК!A:P,5,FALSE())</f>
        <v>ICS-R 32 D</v>
      </c>
      <c r="D16" s="134" t="str">
        <f>VLOOKUP(B16,ИСХОДНИК!A:P,11,FALSE())</f>
        <v>Под сварку встык DIN</v>
      </c>
      <c r="E16" s="105">
        <f>VLOOKUP(B16,ИСХОДНИК!A:P,7,FALSE())</f>
        <v>32</v>
      </c>
      <c r="F16" s="137" t="str">
        <f>VLOOKUP(B16,ИСХОДНИК!A:P,10,FALSE())</f>
        <v>R717, R744 и фреоны</v>
      </c>
      <c r="G16" s="137">
        <f>VLOOKUP(B16,ИСХОДНИК!A:P,8,FALSE())</f>
        <v>52</v>
      </c>
      <c r="H16" s="181" t="str">
        <f>VLOOKUP(B16,ИСХОДНИК!A:P,9,FALSE())</f>
        <v xml:space="preserve"> -50…120</v>
      </c>
      <c r="I16" s="138" t="s">
        <v>513</v>
      </c>
      <c r="J16" s="105" t="str">
        <f>VLOOKUP(B16,ИСХОДНИК!A:P,15,FALSE())</f>
        <v>U6 PL40R</v>
      </c>
      <c r="K16" s="139">
        <f>VLOOKUP(B16,ИСХОДНИК!A:P,13,FALSE())</f>
        <v>480000</v>
      </c>
      <c r="L16" s="139">
        <f>VLOOKUP(B16,ИСХОДНИК!A:P,14,FALSE())</f>
        <v>556800</v>
      </c>
      <c r="M16" s="104" t="str">
        <f>IF(VLOOKUP(B16,ИСХОДНИК!A:R,18,FALSE())=1,ИСХОДНИК!$T$2,IF(VLOOKUP(B16,ИСХОДНИК!A:R,18,FALSE())=2,ИСХОДНИК!$T$5,IF(VLOOKUP(B16,ИСХОДНИК!A:R,18,FALSE())=3,ИСХОДНИК!$T$6)))</f>
        <v>◑</v>
      </c>
      <c r="O16" s="105">
        <v>5</v>
      </c>
      <c r="P16" s="105">
        <v>50</v>
      </c>
      <c r="Q16" s="184">
        <v>60.3</v>
      </c>
      <c r="R16" s="184">
        <v>2.9</v>
      </c>
      <c r="S16" s="286">
        <v>54.09</v>
      </c>
      <c r="T16" s="286">
        <v>4.5</v>
      </c>
      <c r="U16" s="286">
        <v>15</v>
      </c>
    </row>
    <row r="17" spans="2:21" ht="17.25" customHeight="1">
      <c r="B17" s="97" t="s">
        <v>519</v>
      </c>
      <c r="C17" s="98" t="str">
        <f>VLOOKUP(B17,ИСХОДНИК!A:P,5,FALSE())</f>
        <v>ICS-R 32 SD</v>
      </c>
      <c r="D17" s="134" t="str">
        <f>VLOOKUP(B17,ИСХОДНИК!A:P,11,FALSE())</f>
        <v xml:space="preserve">Под пайку SD </v>
      </c>
      <c r="E17" s="105">
        <f>VLOOKUP(B17,ИСХОДНИК!A:P,7,FALSE())</f>
        <v>32</v>
      </c>
      <c r="F17" s="137" t="str">
        <f>VLOOKUP(B17,ИСХОДНИК!A:P,10,FALSE())</f>
        <v>R717, R744 и фреоны</v>
      </c>
      <c r="G17" s="137">
        <f>VLOOKUP(B17,ИСХОДНИК!A:P,8,FALSE())</f>
        <v>52</v>
      </c>
      <c r="H17" s="181" t="str">
        <f>VLOOKUP(B17,ИСХОДНИК!A:P,9,FALSE())</f>
        <v xml:space="preserve"> -50…120</v>
      </c>
      <c r="I17" s="138" t="s">
        <v>515</v>
      </c>
      <c r="J17" s="105" t="str">
        <f>VLOOKUP(B17,ИСХОДНИК!A:P,15,FALSE())</f>
        <v>U6 PL40R</v>
      </c>
      <c r="K17" s="139">
        <f>VLOOKUP(B17,ИСХОДНИК!A:P,13,FALSE())</f>
        <v>480000</v>
      </c>
      <c r="L17" s="139">
        <f>VLOOKUP(B17,ИСХОДНИК!A:P,14,FALSE())</f>
        <v>556800</v>
      </c>
      <c r="M17" s="140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O17" s="105">
        <v>6</v>
      </c>
      <c r="P17" s="105">
        <v>65</v>
      </c>
      <c r="Q17" s="184">
        <v>76.099999999999994</v>
      </c>
      <c r="R17" s="184">
        <v>2.9</v>
      </c>
      <c r="S17" s="287">
        <v>76.099999999999994</v>
      </c>
      <c r="T17" s="286">
        <v>4</v>
      </c>
      <c r="U17" s="286">
        <v>20</v>
      </c>
    </row>
    <row r="18" spans="2:21" ht="17.25" customHeight="1">
      <c r="B18" s="97" t="s">
        <v>520</v>
      </c>
      <c r="C18" s="98" t="str">
        <f>VLOOKUP(B18,ИСХОДНИК!A:P,5,FALSE())</f>
        <v>ICS-R 40 D</v>
      </c>
      <c r="D18" s="134" t="str">
        <f>VLOOKUP(B18,ИСХОДНИК!A:P,11,FALSE())</f>
        <v>Под сварку встык DIN</v>
      </c>
      <c r="E18" s="105">
        <f>VLOOKUP(B18,ИСХОДНИК!A:P,7,FALSE())</f>
        <v>40</v>
      </c>
      <c r="F18" s="137" t="str">
        <f>VLOOKUP(B18,ИСХОДНИК!A:P,10,FALSE())</f>
        <v>R717, R744 и фреоны</v>
      </c>
      <c r="G18" s="137">
        <f>VLOOKUP(B18,ИСХОДНИК!A:P,8,FALSE())</f>
        <v>52</v>
      </c>
      <c r="H18" s="181" t="str">
        <f>VLOOKUP(B18,ИСХОДНИК!A:P,9,FALSE())</f>
        <v xml:space="preserve"> -50…120</v>
      </c>
      <c r="I18" s="138" t="s">
        <v>513</v>
      </c>
      <c r="J18" s="105" t="str">
        <f>VLOOKUP(B18,ИСХОДНИК!A:P,15,FALSE())</f>
        <v>U6 PL40R</v>
      </c>
      <c r="K18" s="139">
        <f>VLOOKUP(B18,ИСХОДНИК!A:P,13,FALSE())</f>
        <v>570000</v>
      </c>
      <c r="L18" s="139">
        <f>VLOOKUP(B18,ИСХОДНИК!A:P,14,FALSE())</f>
        <v>661200</v>
      </c>
      <c r="M18" s="104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O18" s="105">
        <v>7</v>
      </c>
      <c r="P18" s="105">
        <v>80</v>
      </c>
      <c r="Q18" s="184">
        <v>88.9</v>
      </c>
      <c r="R18" s="249">
        <v>3.2</v>
      </c>
      <c r="S18" s="288"/>
      <c r="T18" s="289"/>
      <c r="U18" s="290"/>
    </row>
    <row r="19" spans="2:21" ht="17.25" customHeight="1">
      <c r="B19" s="97" t="s">
        <v>521</v>
      </c>
      <c r="C19" s="98" t="str">
        <f>VLOOKUP(B19,ИСХОДНИК!A:P,5,FALSE())</f>
        <v>ICS-R 40 SD</v>
      </c>
      <c r="D19" s="134" t="str">
        <f>VLOOKUP(B19,ИСХОДНИК!A:P,11,FALSE())</f>
        <v xml:space="preserve">Под пайку SD </v>
      </c>
      <c r="E19" s="105">
        <f>VLOOKUP(B19,ИСХОДНИК!A:P,7,FALSE())</f>
        <v>40</v>
      </c>
      <c r="F19" s="137" t="str">
        <f>VLOOKUP(B19,ИСХОДНИК!A:P,10,FALSE())</f>
        <v>R717, R744 и фреоны</v>
      </c>
      <c r="G19" s="137">
        <f>VLOOKUP(B19,ИСХОДНИК!A:P,8,FALSE())</f>
        <v>52</v>
      </c>
      <c r="H19" s="181" t="str">
        <f>VLOOKUP(B19,ИСХОДНИК!A:P,9,FALSE())</f>
        <v xml:space="preserve"> -50…120</v>
      </c>
      <c r="I19" s="138" t="s">
        <v>515</v>
      </c>
      <c r="J19" s="105" t="str">
        <f>VLOOKUP(B19,ИСХОДНИК!A:P,15,FALSE())</f>
        <v>U6 PL40R</v>
      </c>
      <c r="K19" s="139">
        <f>VLOOKUP(B19,ИСХОДНИК!A:P,13,FALSE())</f>
        <v>570000</v>
      </c>
      <c r="L19" s="139">
        <f>VLOOKUP(B19,ИСХОДНИК!A:P,14,FALSE())</f>
        <v>661200</v>
      </c>
      <c r="M19" s="104" t="str">
        <f>IF(VLOOKUP(B19,ИСХОДНИК!A:R,18,FALSE())=1,ИСХОДНИК!$T$2,IF(VLOOKUP(B19,ИСХОДНИК!A:R,18,FALSE())=2,ИСХОДНИК!$T$5,IF(VLOOKUP(B19,ИСХОДНИК!A:R,18,FALSE())=3,ИСХОДНИК!$T$6)))</f>
        <v>◑</v>
      </c>
      <c r="O19" s="105">
        <v>8</v>
      </c>
      <c r="P19" s="105">
        <v>100</v>
      </c>
      <c r="Q19" s="184">
        <v>114.3</v>
      </c>
      <c r="R19" s="249">
        <v>3.6</v>
      </c>
      <c r="S19" s="291"/>
      <c r="T19" s="292"/>
      <c r="U19" s="293"/>
    </row>
    <row r="20" spans="2:21" ht="17.25" customHeight="1">
      <c r="B20" s="97" t="s">
        <v>522</v>
      </c>
      <c r="C20" s="98" t="str">
        <f>VLOOKUP(B20,ИСХОДНИК!A:P,5,FALSE())</f>
        <v>ICS-R 50 D</v>
      </c>
      <c r="D20" s="134" t="str">
        <f>VLOOKUP(B20,ИСХОДНИК!A:P,11,FALSE())</f>
        <v>Под сварку встык DIN</v>
      </c>
      <c r="E20" s="105">
        <f>VLOOKUP(B20,ИСХОДНИК!A:P,7,FALSE())</f>
        <v>50</v>
      </c>
      <c r="F20" s="137" t="str">
        <f>VLOOKUP(B20,ИСХОДНИК!A:P,10,FALSE())</f>
        <v>R717, R744 и фреоны</v>
      </c>
      <c r="G20" s="137">
        <f>VLOOKUP(B20,ИСХОДНИК!A:P,8,FALSE())</f>
        <v>52</v>
      </c>
      <c r="H20" s="181" t="str">
        <f>VLOOKUP(B20,ИСХОДНИК!A:P,9,FALSE())</f>
        <v xml:space="preserve"> -50…120</v>
      </c>
      <c r="I20" s="138" t="s">
        <v>513</v>
      </c>
      <c r="J20" s="105" t="str">
        <f>VLOOKUP(B20,ИСХОДНИК!A:P,15,FALSE())</f>
        <v>U6 PL40R</v>
      </c>
      <c r="K20" s="139">
        <f>VLOOKUP(B20,ИСХОДНИК!A:P,13,FALSE())</f>
        <v>630000</v>
      </c>
      <c r="L20" s="139">
        <f>VLOOKUP(B20,ИСХОДНИК!A:P,14,FALSE())</f>
        <v>730800</v>
      </c>
      <c r="M20" s="104" t="str">
        <f>IF(VLOOKUP(B20,ИСХОДНИК!A:R,18,FALSE())=1,ИСХОДНИК!$T$2,IF(VLOOKUP(B20,ИСХОДНИК!A:R,18,FALSE())=2,ИСХОДНИК!$T$5,IF(VLOOKUP(B20,ИСХОДНИК!A:R,18,FALSE())=3,ИСХОДНИК!$T$6)))</f>
        <v>◑</v>
      </c>
      <c r="O20" s="105">
        <v>9</v>
      </c>
      <c r="P20" s="105">
        <v>125</v>
      </c>
      <c r="Q20" s="184">
        <v>139.69999999999999</v>
      </c>
      <c r="R20" s="249">
        <v>4</v>
      </c>
      <c r="S20" s="291"/>
      <c r="T20" s="292"/>
      <c r="U20" s="293"/>
    </row>
    <row r="21" spans="2:21" ht="17.25" customHeight="1">
      <c r="B21" s="97" t="s">
        <v>523</v>
      </c>
      <c r="C21" s="98" t="str">
        <f>VLOOKUP(B21,ИСХОДНИК!A:P,5,FALSE())</f>
        <v>ICS-R 50 SD</v>
      </c>
      <c r="D21" s="134" t="str">
        <f>VLOOKUP(B21,ИСХОДНИК!A:P,11,FALSE())</f>
        <v xml:space="preserve">Под пайку SD </v>
      </c>
      <c r="E21" s="105">
        <f>VLOOKUP(B21,ИСХОДНИК!A:P,7,FALSE())</f>
        <v>50</v>
      </c>
      <c r="F21" s="137" t="str">
        <f>VLOOKUP(B21,ИСХОДНИК!A:P,10,FALSE())</f>
        <v>R717, R744 и фреоны</v>
      </c>
      <c r="G21" s="137">
        <f>VLOOKUP(B21,ИСХОДНИК!A:P,8,FALSE())</f>
        <v>52</v>
      </c>
      <c r="H21" s="181" t="str">
        <f>VLOOKUP(B21,ИСХОДНИК!A:P,9,FALSE())</f>
        <v xml:space="preserve"> -50…120</v>
      </c>
      <c r="I21" s="138" t="s">
        <v>515</v>
      </c>
      <c r="J21" s="105" t="str">
        <f>VLOOKUP(B21,ИСХОДНИК!A:P,15,FALSE())</f>
        <v>U6 PL40R</v>
      </c>
      <c r="K21" s="139">
        <f>VLOOKUP(B21,ИСХОДНИК!A:P,13,FALSE())</f>
        <v>630000</v>
      </c>
      <c r="L21" s="139">
        <f>VLOOKUP(B21,ИСХОДНИК!A:P,14,FALSE())</f>
        <v>730800</v>
      </c>
      <c r="M21" s="104" t="str">
        <f>IF(VLOOKUP(B21,ИСХОДНИК!A:R,18,FALSE())=1,ИСХОДНИК!$T$2,IF(VLOOKUP(B21,ИСХОДНИК!A:R,18,FALSE())=2,ИСХОДНИК!$T$5,IF(VLOOKUP(B21,ИСХОДНИК!A:R,18,FALSE())=3,ИСХОДНИК!$T$6)))</f>
        <v>◑</v>
      </c>
      <c r="O21" s="105">
        <v>10</v>
      </c>
      <c r="P21" s="105">
        <v>150</v>
      </c>
      <c r="Q21" s="184">
        <v>168.3</v>
      </c>
      <c r="R21" s="249">
        <v>4.5</v>
      </c>
      <c r="S21" s="294"/>
      <c r="T21" s="295"/>
      <c r="U21" s="296"/>
    </row>
    <row r="22" spans="2:21" ht="17.25" customHeight="1">
      <c r="B22" s="97" t="s">
        <v>524</v>
      </c>
      <c r="C22" s="98" t="str">
        <f>VLOOKUP(B22,ИСХОДНИК!A:P,5,FALSE())</f>
        <v>ICS-R 65 D</v>
      </c>
      <c r="D22" s="134" t="str">
        <f>VLOOKUP(B22,ИСХОДНИК!A:P,11,FALSE())</f>
        <v>Под сварку встык DIN</v>
      </c>
      <c r="E22" s="105">
        <f>VLOOKUP(B22,ИСХОДНИК!A:P,7,FALSE())</f>
        <v>65</v>
      </c>
      <c r="F22" s="137" t="str">
        <f>VLOOKUP(B22,ИСХОДНИК!A:P,10,FALSE())</f>
        <v>R717, R744 и фреоны</v>
      </c>
      <c r="G22" s="137">
        <f>VLOOKUP(B22,ИСХОДНИК!A:P,8,FALSE())</f>
        <v>52</v>
      </c>
      <c r="H22" s="181" t="str">
        <f>VLOOKUP(B22,ИСХОДНИК!A:P,9,FALSE())</f>
        <v xml:space="preserve"> -50…120</v>
      </c>
      <c r="I22" s="138" t="s">
        <v>513</v>
      </c>
      <c r="J22" s="105" t="str">
        <f>VLOOKUP(B22,ИСХОДНИК!A:P,15,FALSE())</f>
        <v>U6 PL40R</v>
      </c>
      <c r="K22" s="139">
        <f>VLOOKUP(B22,ИСХОДНИК!A:P,13,FALSE())</f>
        <v>900000</v>
      </c>
      <c r="L22" s="139">
        <f>VLOOKUP(B22,ИСХОДНИК!A:P,14,FALSE())</f>
        <v>1043999.9999999999</v>
      </c>
      <c r="M22" s="104" t="str">
        <f>IF(VLOOKUP(B22,ИСХОДНИК!A:R,18,FALSE())=1,ИСХОДНИК!$T$2,IF(VLOOKUP(B22,ИСХОДНИК!A:R,18,FALSE())=2,ИСХОДНИК!$T$5,IF(VLOOKUP(B22,ИСХОДНИК!A:R,18,FALSE())=3,ИСХОДНИК!$T$6)))</f>
        <v>◑</v>
      </c>
    </row>
    <row r="23" spans="2:21" ht="17.25" customHeight="1">
      <c r="B23" s="97" t="s">
        <v>525</v>
      </c>
      <c r="C23" s="98" t="str">
        <f>VLOOKUP(B23,ИСХОДНИК!A:P,5,FALSE())</f>
        <v>ICS-R 65 SD</v>
      </c>
      <c r="D23" s="134" t="str">
        <f>VLOOKUP(B23,ИСХОДНИК!A:P,11,FALSE())</f>
        <v xml:space="preserve">Под пайку SD </v>
      </c>
      <c r="E23" s="105">
        <f>VLOOKUP(B23,ИСХОДНИК!A:P,7,FALSE())</f>
        <v>65</v>
      </c>
      <c r="F23" s="137" t="str">
        <f>VLOOKUP(B23,ИСХОДНИК!A:P,10,FALSE())</f>
        <v>R717, R744 и фреоны</v>
      </c>
      <c r="G23" s="137">
        <f>VLOOKUP(B23,ИСХОДНИК!A:P,8,FALSE())</f>
        <v>52</v>
      </c>
      <c r="H23" s="181" t="str">
        <f>VLOOKUP(B23,ИСХОДНИК!A:P,9,FALSE())</f>
        <v xml:space="preserve"> -50…120</v>
      </c>
      <c r="I23" s="138" t="s">
        <v>515</v>
      </c>
      <c r="J23" s="105" t="str">
        <f>VLOOKUP(B23,ИСХОДНИК!A:P,15,FALSE())</f>
        <v>U6 PL40R</v>
      </c>
      <c r="K23" s="139">
        <f>VLOOKUP(B23,ИСХОДНИК!A:P,13,FALSE())</f>
        <v>900000</v>
      </c>
      <c r="L23" s="139">
        <f>VLOOKUP(B23,ИСХОДНИК!A:P,14,FALSE())</f>
        <v>1043999.9999999999</v>
      </c>
      <c r="M23" s="140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21" ht="17.25" customHeight="1">
      <c r="B24" s="97" t="s">
        <v>526</v>
      </c>
      <c r="C24" s="98" t="str">
        <f>VLOOKUP(B24,ИСХОДНИК!A:P,5,FALSE())</f>
        <v>ICS-R 80 D</v>
      </c>
      <c r="D24" s="134" t="str">
        <f>VLOOKUP(B24,ИСХОДНИК!A:P,11,FALSE())</f>
        <v>Под сварку встык DIN</v>
      </c>
      <c r="E24" s="105">
        <f>VLOOKUP(B24,ИСХОДНИК!A:P,7,FALSE())</f>
        <v>80</v>
      </c>
      <c r="F24" s="137" t="str">
        <f>VLOOKUP(B24,ИСХОДНИК!A:P,10,FALSE())</f>
        <v>R717, R744 и фреоны</v>
      </c>
      <c r="G24" s="137">
        <f>VLOOKUP(B24,ИСХОДНИК!A:P,8,FALSE())</f>
        <v>52</v>
      </c>
      <c r="H24" s="181" t="str">
        <f>VLOOKUP(B24,ИСХОДНИК!A:P,9,FALSE())</f>
        <v xml:space="preserve"> -50…120</v>
      </c>
      <c r="I24" s="138" t="s">
        <v>513</v>
      </c>
      <c r="J24" s="105" t="str">
        <f>VLOOKUP(B24,ИСХОДНИК!A:P,15,FALSE())</f>
        <v>U6 PL40R</v>
      </c>
      <c r="K24" s="139">
        <f>VLOOKUP(B24,ИСХОДНИК!A:P,13,FALSE())</f>
        <v>1194000</v>
      </c>
      <c r="L24" s="139">
        <f>VLOOKUP(B24,ИСХОДНИК!A:P,14,FALSE())</f>
        <v>1385040</v>
      </c>
      <c r="M24" s="104" t="str">
        <f>IF(VLOOKUP(B24,ИСХОДНИК!A:R,18,FALSE())=1,ИСХОДНИК!$T$2,IF(VLOOKUP(B24,ИСХОДНИК!A:R,18,FALSE())=2,ИСХОДНИК!$T$5,IF(VLOOKUP(B24,ИСХОДНИК!A:R,18,FALSE())=3,ИСХОДНИК!$T$6)))</f>
        <v>◑</v>
      </c>
    </row>
    <row r="25" spans="2:21" ht="17.25" customHeight="1">
      <c r="B25" s="97" t="s">
        <v>527</v>
      </c>
      <c r="C25" s="98" t="str">
        <f>VLOOKUP(B25,ИСХОДНИК!A:P,5,FALSE())</f>
        <v>ICS-R 100 D</v>
      </c>
      <c r="D25" s="134" t="str">
        <f>VLOOKUP(B25,ИСХОДНИК!A:P,11,FALSE())</f>
        <v>Под сварку встык DIN</v>
      </c>
      <c r="E25" s="105">
        <f>VLOOKUP(B25,ИСХОДНИК!A:P,7,FALSE())</f>
        <v>100</v>
      </c>
      <c r="F25" s="137" t="str">
        <f>VLOOKUP(B25,ИСХОДНИК!A:P,10,FALSE())</f>
        <v>R717, R744 и фреоны</v>
      </c>
      <c r="G25" s="137">
        <f>VLOOKUP(B25,ИСХОДНИК!A:P,8,FALSE())</f>
        <v>52</v>
      </c>
      <c r="H25" s="181" t="str">
        <f>VLOOKUP(B25,ИСХОДНИК!A:P,9,FALSE())</f>
        <v xml:space="preserve"> -50…120</v>
      </c>
      <c r="I25" s="138" t="s">
        <v>513</v>
      </c>
      <c r="J25" s="105" t="str">
        <f>VLOOKUP(B25,ИСХОДНИК!A:P,15,FALSE())</f>
        <v>U6 PL40R</v>
      </c>
      <c r="K25" s="139">
        <f>VLOOKUP(B25,ИСХОДНИК!A:P,13,FALSE())</f>
        <v>1740000</v>
      </c>
      <c r="L25" s="139">
        <f>VLOOKUP(B25,ИСХОДНИК!A:P,14,FALSE())</f>
        <v>2018399.9999999998</v>
      </c>
      <c r="M25" s="104" t="str">
        <f>IF(VLOOKUP(B25,ИСХОДНИК!A:R,18,FALSE())=1,ИСХОДНИК!$T$2,IF(VLOOKUP(B25,ИСХОДНИК!A:R,18,FALSE())=2,ИСХОДНИК!$T$5,IF(VLOOKUP(B25,ИСХОДНИК!A:R,18,FALSE())=3,ИСХОДНИК!$T$6)))</f>
        <v>◑</v>
      </c>
    </row>
    <row r="26" spans="2:21" ht="17.25" customHeight="1">
      <c r="B26" s="97" t="s">
        <v>528</v>
      </c>
      <c r="C26" s="98" t="str">
        <f>VLOOKUP(B26,ИСХОДНИК!A:P,5,FALSE())</f>
        <v>ICS-R 125 D</v>
      </c>
      <c r="D26" s="134" t="str">
        <f>VLOOKUP(B26,ИСХОДНИК!A:P,11,FALSE())</f>
        <v>Под сварку встык DIN</v>
      </c>
      <c r="E26" s="105">
        <f>VLOOKUP(B26,ИСХОДНИК!A:P,7,FALSE())</f>
        <v>125</v>
      </c>
      <c r="F26" s="137" t="str">
        <f>VLOOKUP(B26,ИСХОДНИК!A:P,10,FALSE())</f>
        <v>R717, R744 и фреоны</v>
      </c>
      <c r="G26" s="137">
        <f>VLOOKUP(B26,ИСХОДНИК!A:P,8,FALSE())</f>
        <v>52</v>
      </c>
      <c r="H26" s="181" t="str">
        <f>VLOOKUP(B26,ИСХОДНИК!A:P,9,FALSE())</f>
        <v xml:space="preserve"> -50…120</v>
      </c>
      <c r="I26" s="138" t="s">
        <v>513</v>
      </c>
      <c r="J26" s="105" t="str">
        <f>VLOOKUP(B26,ИСХОДНИК!A:P,15,FALSE())</f>
        <v>PR PL40R-Project</v>
      </c>
      <c r="K26" s="139">
        <f>VLOOKUP(B26,ИСХОДНИК!A:P,13,FALSE())</f>
        <v>2430000</v>
      </c>
      <c r="L26" s="139">
        <f>VLOOKUP(B26,ИСХОДНИК!A:P,14,FALSE())</f>
        <v>2818800</v>
      </c>
      <c r="M26" s="140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21" ht="17.25" customHeight="1">
      <c r="B27" s="97" t="s">
        <v>529</v>
      </c>
      <c r="C27" s="98" t="str">
        <f>VLOOKUP(B27,ИСХОДНИК!A:P,5,FALSE())</f>
        <v>ICS-R 150 D</v>
      </c>
      <c r="D27" s="134" t="str">
        <f>VLOOKUP(B27,ИСХОДНИК!A:P,11,FALSE())</f>
        <v>Под сварку встык DIN</v>
      </c>
      <c r="E27" s="105">
        <f>VLOOKUP(B27,ИСХОДНИК!A:P,7,FALSE())</f>
        <v>150</v>
      </c>
      <c r="F27" s="137" t="str">
        <f>VLOOKUP(B27,ИСХОДНИК!A:P,10,FALSE())</f>
        <v>R717, R744 и фреоны</v>
      </c>
      <c r="G27" s="137">
        <f>VLOOKUP(B27,ИСХОДНИК!A:P,8,FALSE())</f>
        <v>52</v>
      </c>
      <c r="H27" s="181" t="str">
        <f>VLOOKUP(B27,ИСХОДНИК!A:P,9,FALSE())</f>
        <v xml:space="preserve"> -50…120</v>
      </c>
      <c r="I27" s="138" t="s">
        <v>513</v>
      </c>
      <c r="J27" s="105" t="str">
        <f>VLOOKUP(B27,ИСХОДНИК!A:P,15,FALSE())</f>
        <v>PR PL40R-Project</v>
      </c>
      <c r="K27" s="139">
        <f>VLOOKUP(B27,ИСХОДНИК!A:P,13,FALSE())</f>
        <v>3900000</v>
      </c>
      <c r="L27" s="139">
        <f>VLOOKUP(B27,ИСХОДНИК!A:P,14,FALSE())</f>
        <v>4524000</v>
      </c>
      <c r="M27" s="140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1" ht="15" customHeight="1">
      <c r="B28" s="238"/>
      <c r="C28" s="240"/>
      <c r="D28" s="224"/>
      <c r="E28" s="223"/>
      <c r="F28" s="225"/>
      <c r="G28" s="225"/>
      <c r="H28" s="225"/>
      <c r="I28" s="297"/>
      <c r="J28" s="223"/>
      <c r="K28" s="241"/>
      <c r="L28" s="241"/>
      <c r="M28" s="298"/>
    </row>
    <row r="29" spans="2:21" ht="16.5" customHeight="1">
      <c r="B29" s="516" t="s">
        <v>199</v>
      </c>
      <c r="C29" s="516"/>
      <c r="D29" s="516"/>
      <c r="E29" s="516"/>
      <c r="F29" s="516"/>
      <c r="G29" s="516"/>
      <c r="H29" s="516"/>
      <c r="I29" s="516"/>
      <c r="J29" s="516"/>
      <c r="K29" s="516"/>
      <c r="L29" s="516"/>
      <c r="M29" s="516"/>
    </row>
    <row r="30" spans="2:21" ht="36.75" customHeight="1">
      <c r="B30" s="545" t="s">
        <v>530</v>
      </c>
      <c r="C30" s="545"/>
      <c r="D30" s="546" t="s">
        <v>531</v>
      </c>
      <c r="E30" s="546"/>
      <c r="F30" s="546"/>
      <c r="G30" s="547" t="s">
        <v>532</v>
      </c>
      <c r="H30" s="547"/>
      <c r="I30" s="547"/>
      <c r="J30" s="547"/>
      <c r="K30" s="547" t="s">
        <v>533</v>
      </c>
      <c r="L30" s="547"/>
      <c r="M30" s="547"/>
    </row>
    <row r="31" spans="2:21" ht="63" customHeight="1">
      <c r="B31" s="548"/>
      <c r="C31" s="548"/>
      <c r="D31" s="549"/>
      <c r="E31" s="549"/>
      <c r="F31" s="549"/>
      <c r="G31" s="549"/>
      <c r="H31" s="549"/>
      <c r="I31" s="549"/>
      <c r="J31" s="549"/>
      <c r="K31" s="550"/>
      <c r="L31" s="550"/>
      <c r="M31" s="550"/>
    </row>
    <row r="32" spans="2:21" ht="25.5" customHeight="1">
      <c r="B32" s="545" t="s">
        <v>534</v>
      </c>
      <c r="C32" s="545"/>
      <c r="D32" s="549"/>
      <c r="E32" s="549"/>
      <c r="F32" s="549"/>
      <c r="G32" s="549"/>
      <c r="H32" s="549"/>
      <c r="I32" s="549"/>
      <c r="J32" s="549"/>
      <c r="K32" s="550"/>
      <c r="L32" s="550"/>
      <c r="M32" s="550"/>
    </row>
    <row r="33" spans="2:13" ht="132" customHeight="1">
      <c r="B33" s="548"/>
      <c r="C33" s="548"/>
      <c r="D33" s="549"/>
      <c r="E33" s="549"/>
      <c r="F33" s="549"/>
      <c r="G33" s="549"/>
      <c r="H33" s="549"/>
      <c r="I33" s="549"/>
      <c r="J33" s="549"/>
      <c r="K33" s="550"/>
      <c r="L33" s="550"/>
      <c r="M33" s="550"/>
    </row>
    <row r="34" spans="2:13" ht="35" customHeight="1">
      <c r="B34" s="237" t="s">
        <v>72</v>
      </c>
      <c r="C34" s="517" t="s">
        <v>2</v>
      </c>
      <c r="D34" s="517"/>
      <c r="E34" s="517"/>
      <c r="F34" s="517"/>
      <c r="G34" s="517"/>
      <c r="H34" s="208" t="s">
        <v>201</v>
      </c>
      <c r="I34" s="300"/>
      <c r="J34" s="237" t="s">
        <v>67</v>
      </c>
      <c r="K34" s="95" t="s">
        <v>74</v>
      </c>
      <c r="L34" s="95" t="s">
        <v>75</v>
      </c>
      <c r="M34" s="301" t="s">
        <v>55</v>
      </c>
    </row>
    <row r="35" spans="2:13" ht="18" customHeight="1">
      <c r="B35" s="97" t="s">
        <v>535</v>
      </c>
      <c r="C35" s="551" t="str">
        <f>VLOOKUP(B35,ИСХОДНИК!A:P,2,FALSE())</f>
        <v>Заглушка типа "А" с прокладками для клапанов ICS-R/ PM</v>
      </c>
      <c r="D35" s="551"/>
      <c r="E35" s="551"/>
      <c r="F35" s="551"/>
      <c r="G35" s="551"/>
      <c r="H35" s="105" t="s">
        <v>536</v>
      </c>
      <c r="I35" s="101"/>
      <c r="J35" s="200" t="str">
        <f>VLOOKUP(B35,ИСХОДНИК!A:P,15,FALSE())</f>
        <v>U6 PL40R</v>
      </c>
      <c r="K35" s="139">
        <f>VLOOKUP(B35,ИСХОДНИК!A:P,13,FALSE())</f>
        <v>9000</v>
      </c>
      <c r="L35" s="139">
        <f>VLOOKUP(B35,ИСХОДНИК!A:P,14,FALSE())</f>
        <v>10440</v>
      </c>
      <c r="M35" s="104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2:13" ht="18" customHeight="1">
      <c r="B36" s="302" t="s">
        <v>537</v>
      </c>
      <c r="C36" s="551" t="str">
        <f>VLOOKUP(B36,ИСХОДНИК!A:P,2,FALSE())</f>
        <v>Заглушка типа "B" с прокладками для клапанов ICS-R/ PM</v>
      </c>
      <c r="D36" s="551"/>
      <c r="E36" s="551"/>
      <c r="F36" s="551"/>
      <c r="G36" s="551"/>
      <c r="H36" s="105" t="s">
        <v>538</v>
      </c>
      <c r="I36" s="303"/>
      <c r="J36" s="304" t="str">
        <f>VLOOKUP(B36,ИСХОДНИК!A:P,15,FALSE())</f>
        <v>U6 PL40R</v>
      </c>
      <c r="K36" s="305">
        <f>VLOOKUP(B36,ИСХОДНИК!A:P,13,FALSE())</f>
        <v>21000</v>
      </c>
      <c r="L36" s="305">
        <f>VLOOKUP(B36,ИСХОДНИК!A:P,14,FALSE())</f>
        <v>24360</v>
      </c>
      <c r="M36" s="306" t="str">
        <f>IF(VLOOKUP(B36,ИСХОДНИК!A:R,18,FALSE())=1,ИСХОДНИК!$T$2,IF(VLOOKUP(B36,ИСХОДНИК!A:R,18,FALSE())=2,ИСХОДНИК!$T$5,IF(VLOOKUP(B36,ИСХОДНИК!A:R,18,FALSE())=3,ИСХОДНИК!$T$6)))</f>
        <v>◑</v>
      </c>
    </row>
    <row r="37" spans="2:13" ht="13.5">
      <c r="B37" s="307"/>
      <c r="C37" s="308"/>
      <c r="D37" s="308"/>
      <c r="E37" s="308"/>
      <c r="F37" s="308"/>
      <c r="G37" s="308"/>
      <c r="H37" s="308"/>
      <c r="I37" s="308"/>
      <c r="J37" s="307"/>
      <c r="K37" s="308"/>
      <c r="L37" s="308"/>
      <c r="M37" s="309"/>
    </row>
    <row r="38" spans="2:13" ht="15.75" customHeight="1">
      <c r="B38" s="153" t="s">
        <v>539</v>
      </c>
      <c r="C38" s="551" t="str">
        <f>VLOOKUP(B38,ИСХОДНИК!A:P,2,FALSE())</f>
        <v>Ревизионный комплект прокладочных уплотнений для клапанов ICS-R 20-25</v>
      </c>
      <c r="D38" s="551"/>
      <c r="E38" s="551"/>
      <c r="F38" s="551"/>
      <c r="G38" s="551"/>
      <c r="H38" s="105" t="s">
        <v>540</v>
      </c>
      <c r="I38" s="206"/>
      <c r="J38" s="233" t="str">
        <f>VLOOKUP(B38,ИСХОДНИК!A:P,15,FALSE())</f>
        <v>U6 PL40R</v>
      </c>
      <c r="K38" s="243">
        <f>VLOOKUP(B38,ИСХОДНИК!A:P,13,FALSE())</f>
        <v>21000</v>
      </c>
      <c r="L38" s="243">
        <f>VLOOKUP(B38,ИСХОДНИК!A:P,14,FALSE())</f>
        <v>24360</v>
      </c>
      <c r="M38" s="199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2:13" ht="15.75" customHeight="1">
      <c r="B39" s="97" t="s">
        <v>541</v>
      </c>
      <c r="C39" s="551" t="str">
        <f>VLOOKUP(B39,ИСХОДНИК!A:P,2,FALSE())</f>
        <v>Ревизионный комплект прокладочных уплотнений для клапанов ICS-R 32-40</v>
      </c>
      <c r="D39" s="551"/>
      <c r="E39" s="551"/>
      <c r="F39" s="551"/>
      <c r="G39" s="551"/>
      <c r="H39" s="105" t="s">
        <v>540</v>
      </c>
      <c r="I39" s="310"/>
      <c r="J39" s="200" t="str">
        <f>VLOOKUP(B39,ИСХОДНИК!A:P,15,FALSE())</f>
        <v>U6 PL40R</v>
      </c>
      <c r="K39" s="139">
        <f>VLOOKUP(B39,ИСХОДНИК!A:P,13,FALSE())</f>
        <v>39000</v>
      </c>
      <c r="L39" s="139">
        <f>VLOOKUP(B39,ИСХОДНИК!A:P,14,FALSE())</f>
        <v>45240</v>
      </c>
      <c r="M39" s="104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2:13" ht="15.75" customHeight="1">
      <c r="B40" s="97" t="s">
        <v>542</v>
      </c>
      <c r="C40" s="551" t="str">
        <f>VLOOKUP(B40,ИСХОДНИК!A:P,2,FALSE())</f>
        <v>Ревизионный комплект прокладочных уплотнений для клапанов ICS-R 50</v>
      </c>
      <c r="D40" s="551"/>
      <c r="E40" s="551"/>
      <c r="F40" s="551"/>
      <c r="G40" s="551"/>
      <c r="H40" s="105" t="s">
        <v>540</v>
      </c>
      <c r="I40" s="310"/>
      <c r="J40" s="200" t="str">
        <f>VLOOKUP(B40,ИСХОДНИК!A:P,15,FALSE())</f>
        <v>U6 PL40R</v>
      </c>
      <c r="K40" s="139">
        <f>VLOOKUP(B40,ИСХОДНИК!A:P,13,FALSE())</f>
        <v>45000</v>
      </c>
      <c r="L40" s="139">
        <f>VLOOKUP(B40,ИСХОДНИК!A:P,14,FALSE())</f>
        <v>52200</v>
      </c>
      <c r="M40" s="104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2:13" ht="15.75" customHeight="1">
      <c r="B41" s="97" t="s">
        <v>543</v>
      </c>
      <c r="C41" s="551" t="str">
        <f>VLOOKUP(B41,ИСХОДНИК!A:P,2,FALSE())</f>
        <v>Ревизионный комплект прокладочных уплотнений для клапанов ICS-R 65-80</v>
      </c>
      <c r="D41" s="551"/>
      <c r="E41" s="551"/>
      <c r="F41" s="551"/>
      <c r="G41" s="551"/>
      <c r="H41" s="105" t="s">
        <v>540</v>
      </c>
      <c r="I41" s="310"/>
      <c r="J41" s="200" t="str">
        <f>VLOOKUP(B41,ИСХОДНИК!A:P,15,FALSE())</f>
        <v>U6 PL40R</v>
      </c>
      <c r="K41" s="139">
        <f>VLOOKUP(B41,ИСХОДНИК!A:P,13,FALSE())</f>
        <v>51000</v>
      </c>
      <c r="L41" s="139">
        <f>VLOOKUP(B41,ИСХОДНИК!A:P,14,FALSE())</f>
        <v>59159.999999999993</v>
      </c>
      <c r="M41" s="104" t="str">
        <f>IF(VLOOKUP(B41,ИСХОДНИК!A:R,18,FALSE())=1,ИСХОДНИК!$T$2,IF(VLOOKUP(B41,ИСХОДНИК!A:R,18,FALSE())=2,ИСХОДНИК!$T$5,IF(VLOOKUP(B41,ИСХОДНИК!A:R,18,FALSE())=3,ИСХОДНИК!$T$6)))</f>
        <v>◑</v>
      </c>
    </row>
    <row r="42" spans="2:13" ht="15.75" customHeight="1">
      <c r="B42" s="97" t="s">
        <v>544</v>
      </c>
      <c r="C42" s="551" t="str">
        <f>VLOOKUP(B42,ИСХОДНИК!A:P,2,FALSE())</f>
        <v>Ревизионный комплект прокладочных уплотнений для клапанов ICS-R 100</v>
      </c>
      <c r="D42" s="551"/>
      <c r="E42" s="551"/>
      <c r="F42" s="551"/>
      <c r="G42" s="551"/>
      <c r="H42" s="105" t="s">
        <v>540</v>
      </c>
      <c r="I42" s="310"/>
      <c r="J42" s="200" t="str">
        <f>VLOOKUP(B42,ИСХОДНИК!A:P,15,FALSE())</f>
        <v>U6 PL40R</v>
      </c>
      <c r="K42" s="139">
        <f>VLOOKUP(B42,ИСХОДНИК!A:P,13,FALSE())</f>
        <v>93000</v>
      </c>
      <c r="L42" s="139">
        <f>VLOOKUP(B42,ИСХОДНИК!A:P,14,FALSE())</f>
        <v>107879.99999999999</v>
      </c>
      <c r="M42" s="104" t="str">
        <f>IF(VLOOKUP(B42,ИСХОДНИК!A:R,18,FALSE())=1,ИСХОДНИК!$T$2,IF(VLOOKUP(B42,ИСХОДНИК!A:R,18,FALSE())=2,ИСХОДНИК!$T$5,IF(VLOOKUP(B42,ИСХОДНИК!A:R,18,FALSE())=3,ИСХОДНИК!$T$6)))</f>
        <v>◑</v>
      </c>
    </row>
    <row r="43" spans="2:13" ht="15.75" customHeight="1">
      <c r="B43" s="97" t="s">
        <v>545</v>
      </c>
      <c r="C43" s="551" t="str">
        <f>VLOOKUP(B43,ИСХОДНИК!A:P,2,FALSE())</f>
        <v>Ревизионный комплект прокладочных уплотнений для клапанов ICS-R 125</v>
      </c>
      <c r="D43" s="551"/>
      <c r="E43" s="551"/>
      <c r="F43" s="551"/>
      <c r="G43" s="551"/>
      <c r="H43" s="105" t="s">
        <v>540</v>
      </c>
      <c r="I43" s="310"/>
      <c r="J43" s="200" t="str">
        <f>VLOOKUP(B43,ИСХОДНИК!A:P,15,FALSE())</f>
        <v>U6 PL40R</v>
      </c>
      <c r="K43" s="139">
        <f>VLOOKUP(B43,ИСХОДНИК!A:P,13,FALSE())</f>
        <v>105000</v>
      </c>
      <c r="L43" s="139">
        <f>VLOOKUP(B43,ИСХОДНИК!A:P,14,FALSE())</f>
        <v>121799.99999999999</v>
      </c>
      <c r="M43" s="104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  <row r="44" spans="2:13" ht="15.75" customHeight="1">
      <c r="B44" s="302" t="s">
        <v>546</v>
      </c>
      <c r="C44" s="551" t="str">
        <f>VLOOKUP(B44,ИСХОДНИК!A:P,2,FALSE())</f>
        <v>Ревизионный комплект прокладочных уплотнений для клапанов ICS-R 150</v>
      </c>
      <c r="D44" s="551"/>
      <c r="E44" s="551"/>
      <c r="F44" s="551"/>
      <c r="G44" s="551"/>
      <c r="H44" s="105" t="s">
        <v>540</v>
      </c>
      <c r="I44" s="202"/>
      <c r="J44" s="304" t="str">
        <f>VLOOKUP(B44,ИСХОДНИК!A:P,15,FALSE())</f>
        <v>U6 PL40R</v>
      </c>
      <c r="K44" s="305">
        <f>VLOOKUP(B44,ИСХОДНИК!A:P,13,FALSE())</f>
        <v>123000</v>
      </c>
      <c r="L44" s="305">
        <f>VLOOKUP(B44,ИСХОДНИК!A:P,14,FALSE())</f>
        <v>142680</v>
      </c>
      <c r="M44" s="306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3" ht="11.25" customHeight="1">
      <c r="B45" s="307"/>
      <c r="C45" s="308"/>
      <c r="D45" s="308"/>
      <c r="E45" s="308"/>
      <c r="F45" s="308"/>
      <c r="G45" s="308"/>
      <c r="H45" s="101"/>
      <c r="I45" s="308"/>
      <c r="J45" s="307"/>
      <c r="K45" s="311"/>
      <c r="L45" s="311"/>
      <c r="M45" s="309"/>
    </row>
    <row r="46" spans="2:13" ht="17.25" customHeight="1">
      <c r="B46" s="153" t="s">
        <v>547</v>
      </c>
      <c r="C46" s="508" t="str">
        <f>VLOOKUP(B46,ИСХОДНИК!A:P,2,FALSE())</f>
        <v>Функциональный модуль для клапана ICS-R 20-25</v>
      </c>
      <c r="D46" s="508"/>
      <c r="E46" s="508"/>
      <c r="F46" s="508"/>
      <c r="G46" s="508"/>
      <c r="H46" s="105" t="s">
        <v>548</v>
      </c>
      <c r="I46" s="312"/>
      <c r="J46" s="233" t="str">
        <f>VLOOKUP(B46,ИСХОДНИК!A:P,15,FALSE())</f>
        <v>U6 PL40R</v>
      </c>
      <c r="K46" s="243">
        <f>VLOOKUP(B46,ИСХОДНИК!A:P,13,FALSE())</f>
        <v>174000</v>
      </c>
      <c r="L46" s="243">
        <f>VLOOKUP(B46,ИСХОДНИК!A:P,14,FALSE())</f>
        <v>201840</v>
      </c>
      <c r="M46" s="313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3" ht="17.25" customHeight="1">
      <c r="B47" s="97" t="s">
        <v>549</v>
      </c>
      <c r="C47" s="508" t="str">
        <f>VLOOKUP(B47,ИСХОДНИК!A:P,2,FALSE())</f>
        <v xml:space="preserve">Функциональный модуль для клапана ICS-R 32-40 </v>
      </c>
      <c r="D47" s="508"/>
      <c r="E47" s="508"/>
      <c r="F47" s="508"/>
      <c r="G47" s="508"/>
      <c r="H47" s="105" t="s">
        <v>548</v>
      </c>
      <c r="I47" s="101"/>
      <c r="J47" s="200" t="str">
        <f>VLOOKUP(B47,ИСХОДНИК!A:P,15,FALSE())</f>
        <v>U6 PL40R</v>
      </c>
      <c r="K47" s="139">
        <f>VLOOKUP(B47,ИСХОДНИК!A:P,13,FALSE())</f>
        <v>270000</v>
      </c>
      <c r="L47" s="139">
        <f>VLOOKUP(B47,ИСХОДНИК!A:P,14,FALSE())</f>
        <v>313200</v>
      </c>
      <c r="M47" s="314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3" ht="17.25" customHeight="1">
      <c r="B48" s="97" t="s">
        <v>550</v>
      </c>
      <c r="C48" s="508" t="str">
        <f>VLOOKUP(B48,ИСХОДНИК!A:P,2,FALSE())</f>
        <v xml:space="preserve">Функциональный модуль для клапана ICS-R 50 </v>
      </c>
      <c r="D48" s="508"/>
      <c r="E48" s="508"/>
      <c r="F48" s="508"/>
      <c r="G48" s="508"/>
      <c r="H48" s="105" t="s">
        <v>548</v>
      </c>
      <c r="I48" s="101"/>
      <c r="J48" s="200" t="str">
        <f>VLOOKUP(B48,ИСХОДНИК!A:P,15,FALSE())</f>
        <v>U6 PL40R</v>
      </c>
      <c r="K48" s="139">
        <f>VLOOKUP(B48,ИСХОДНИК!A:P,13,FALSE())</f>
        <v>360000</v>
      </c>
      <c r="L48" s="139">
        <f>VLOOKUP(B48,ИСХОДНИК!A:P,14,FALSE())</f>
        <v>417600</v>
      </c>
      <c r="M48" s="314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3" ht="17.25" customHeight="1">
      <c r="B49" s="97" t="s">
        <v>551</v>
      </c>
      <c r="C49" s="508" t="str">
        <f>VLOOKUP(B49,ИСХОДНИК!A:P,2,FALSE())</f>
        <v xml:space="preserve">Функциональный модуль для клапана ICS-R 65-80 </v>
      </c>
      <c r="D49" s="508"/>
      <c r="E49" s="508"/>
      <c r="F49" s="508"/>
      <c r="G49" s="508"/>
      <c r="H49" s="105" t="s">
        <v>548</v>
      </c>
      <c r="I49" s="101"/>
      <c r="J49" s="200" t="str">
        <f>VLOOKUP(B49,ИСХОДНИК!A:P,15,FALSE())</f>
        <v>U6 PL40R</v>
      </c>
      <c r="K49" s="139">
        <f>VLOOKUP(B49,ИСХОДНИК!A:P,13,FALSE())</f>
        <v>540000</v>
      </c>
      <c r="L49" s="139">
        <f>VLOOKUP(B49,ИСХОДНИК!A:P,14,FALSE())</f>
        <v>626400</v>
      </c>
      <c r="M49" s="314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3" ht="17.25" customHeight="1">
      <c r="B50" s="97" t="s">
        <v>552</v>
      </c>
      <c r="C50" s="508" t="str">
        <f>VLOOKUP(B50,ИСХОДНИК!A:P,2,FALSE())</f>
        <v>Функциональный модуль для клапана ICS-R 100</v>
      </c>
      <c r="D50" s="508"/>
      <c r="E50" s="508"/>
      <c r="F50" s="508"/>
      <c r="G50" s="508"/>
      <c r="H50" s="105" t="s">
        <v>548</v>
      </c>
      <c r="I50" s="101"/>
      <c r="J50" s="200" t="str">
        <f>VLOOKUP(B50,ИСХОДНИК!A:P,15,FALSE())</f>
        <v>U6 PL40R</v>
      </c>
      <c r="K50" s="139">
        <f>VLOOKUP(B50,ИСХОДНИК!A:P,13,FALSE())</f>
        <v>900000</v>
      </c>
      <c r="L50" s="139">
        <f>VLOOKUP(B50,ИСХОДНИК!A:P,14,FALSE())</f>
        <v>1043999.9999999999</v>
      </c>
      <c r="M50" s="314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3" ht="17.25" customHeight="1">
      <c r="B51" s="97" t="s">
        <v>553</v>
      </c>
      <c r="C51" s="508" t="str">
        <f>VLOOKUP(B51,ИСХОДНИК!A:P,2,FALSE())</f>
        <v xml:space="preserve">Функциональный модуль для клапана ICS-R 125 </v>
      </c>
      <c r="D51" s="508"/>
      <c r="E51" s="508"/>
      <c r="F51" s="508"/>
      <c r="G51" s="508"/>
      <c r="H51" s="105" t="s">
        <v>548</v>
      </c>
      <c r="I51" s="101"/>
      <c r="J51" s="200" t="str">
        <f>VLOOKUP(B51,ИСХОДНИК!A:P,15,FALSE())</f>
        <v>U6 PL40R</v>
      </c>
      <c r="K51" s="139">
        <f>VLOOKUP(B51,ИСХОДНИК!A:P,13,FALSE())</f>
        <v>1140000</v>
      </c>
      <c r="L51" s="139">
        <f>VLOOKUP(B51,ИСХОДНИК!A:P,14,FALSE())</f>
        <v>1322400</v>
      </c>
      <c r="M51" s="314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3" ht="17.25" customHeight="1">
      <c r="B52" s="302" t="s">
        <v>554</v>
      </c>
      <c r="C52" s="508" t="str">
        <f>VLOOKUP(B52,ИСХОДНИК!A:P,2,FALSE())</f>
        <v xml:space="preserve">Функциональный модуль для клапана ICS-R 150 </v>
      </c>
      <c r="D52" s="508"/>
      <c r="E52" s="508"/>
      <c r="F52" s="508"/>
      <c r="G52" s="508"/>
      <c r="H52" s="105" t="s">
        <v>548</v>
      </c>
      <c r="I52" s="303"/>
      <c r="J52" s="304" t="str">
        <f>VLOOKUP(B52,ИСХОДНИК!A:P,15,FALSE())</f>
        <v>U6 PL40R</v>
      </c>
      <c r="K52" s="305">
        <f>VLOOKUP(B52,ИСХОДНИК!A:P,13,FALSE())</f>
        <v>1980000</v>
      </c>
      <c r="L52" s="305">
        <f>VLOOKUP(B52,ИСХОДНИК!A:P,14,FALSE())</f>
        <v>2296800</v>
      </c>
      <c r="M52" s="315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2:13" ht="13.5">
      <c r="B53" s="307"/>
      <c r="C53" s="308"/>
      <c r="D53" s="308"/>
      <c r="E53" s="308"/>
      <c r="F53" s="308"/>
      <c r="G53" s="308"/>
      <c r="H53" s="308"/>
      <c r="I53" s="308"/>
      <c r="J53" s="307"/>
      <c r="K53" s="311"/>
      <c r="L53" s="311"/>
      <c r="M53" s="309"/>
    </row>
    <row r="54" spans="2:13" ht="17.25" customHeight="1">
      <c r="B54" s="153" t="s">
        <v>555</v>
      </c>
      <c r="C54" s="525" t="str">
        <f>VLOOKUP(B54,ИСХОДНИК!A:P,2,FALSE())</f>
        <v>Сальник DN 20-65  с комплектом уплотнений. Для клапанов ICS-R, ICLX-R, PM, PMLX</v>
      </c>
      <c r="D54" s="525"/>
      <c r="E54" s="525"/>
      <c r="F54" s="525"/>
      <c r="G54" s="525"/>
      <c r="H54" s="105" t="s">
        <v>556</v>
      </c>
      <c r="I54" s="312"/>
      <c r="J54" s="182" t="str">
        <f>VLOOKUP(B54,ИСХОДНИК!A:P,15,FALSE())</f>
        <v>U6 PL40R</v>
      </c>
      <c r="K54" s="243">
        <f>VLOOKUP(B54,ИСХОДНИК!A:P,13,FALSE())</f>
        <v>27000</v>
      </c>
      <c r="L54" s="243">
        <f>VLOOKUP(B54,ИСХОДНИК!A:P,14,FALSE())</f>
        <v>31319.999999999996</v>
      </c>
      <c r="M54" s="199" t="str">
        <f>IF(VLOOKUP(B54,ИСХОДНИК!A:R,18,FALSE())=1,ИСХОДНИК!$T$2,IF(VLOOKUP(B54,ИСХОДНИК!A:R,18,FALSE())=2,ИСХОДНИК!$T$5,IF(VLOOKUP(B54,ИСХОДНИК!A:R,18,FALSE())=3,ИСХОДНИК!$T$6)))</f>
        <v>◑</v>
      </c>
    </row>
    <row r="55" spans="2:13" ht="17.25" customHeight="1">
      <c r="B55" s="97" t="s">
        <v>557</v>
      </c>
      <c r="C55" s="525" t="str">
        <f>VLOOKUP(B55,ИСХОДНИК!A:P,2,FALSE())</f>
        <v>Сальник DN 80-100  с комплектом уплотнений. Для клапанов ICS-R, ICLX-R, PM, PMLX</v>
      </c>
      <c r="D55" s="525"/>
      <c r="E55" s="525"/>
      <c r="F55" s="525"/>
      <c r="G55" s="525"/>
      <c r="H55" s="105" t="s">
        <v>556</v>
      </c>
      <c r="I55" s="101"/>
      <c r="J55" s="105" t="str">
        <f>VLOOKUP(B55,ИСХОДНИК!A:P,15,FALSE())</f>
        <v>U6 PL40R</v>
      </c>
      <c r="K55" s="139">
        <f>VLOOKUP(B55,ИСХОДНИК!A:P,13,FALSE())</f>
        <v>36000</v>
      </c>
      <c r="L55" s="139">
        <f>VLOOKUP(B55,ИСХОДНИК!A:P,14,FALSE())</f>
        <v>41760</v>
      </c>
      <c r="M55" s="104" t="str">
        <f>IF(VLOOKUP(B55,ИСХОДНИК!A:R,18,FALSE())=1,ИСХОДНИК!$T$2,IF(VLOOKUP(B55,ИСХОДНИК!A:R,18,FALSE())=2,ИСХОДНИК!$T$5,IF(VLOOKUP(B55,ИСХОДНИК!A:R,18,FALSE())=3,ИСХОДНИК!$T$6)))</f>
        <v>◑</v>
      </c>
    </row>
  </sheetData>
  <autoFilter ref="B11:M11" xr:uid="{00000000-0009-0000-0000-00000B000000}"/>
  <mergeCells count="42">
    <mergeCell ref="C51:G51"/>
    <mergeCell ref="C52:G52"/>
    <mergeCell ref="C54:G54"/>
    <mergeCell ref="C55:G55"/>
    <mergeCell ref="C46:G46"/>
    <mergeCell ref="C47:G47"/>
    <mergeCell ref="C48:G48"/>
    <mergeCell ref="C49:G49"/>
    <mergeCell ref="C50:G50"/>
    <mergeCell ref="C40:G40"/>
    <mergeCell ref="C41:G41"/>
    <mergeCell ref="C42:G42"/>
    <mergeCell ref="C43:G43"/>
    <mergeCell ref="C44:G44"/>
    <mergeCell ref="C34:G34"/>
    <mergeCell ref="C35:G35"/>
    <mergeCell ref="C36:G36"/>
    <mergeCell ref="C38:G38"/>
    <mergeCell ref="C39:G39"/>
    <mergeCell ref="B31:C31"/>
    <mergeCell ref="D31:F33"/>
    <mergeCell ref="G31:J33"/>
    <mergeCell ref="K31:M33"/>
    <mergeCell ref="B32:C32"/>
    <mergeCell ref="B33:C33"/>
    <mergeCell ref="S10:U10"/>
    <mergeCell ref="B29:M29"/>
    <mergeCell ref="B30:C30"/>
    <mergeCell ref="D30:F30"/>
    <mergeCell ref="G30:J30"/>
    <mergeCell ref="K30:M30"/>
    <mergeCell ref="B10:H10"/>
    <mergeCell ref="J10:M10"/>
    <mergeCell ref="O10:O11"/>
    <mergeCell ref="P10:P11"/>
    <mergeCell ref="Q10:R10"/>
    <mergeCell ref="O2:U2"/>
    <mergeCell ref="B3:H3"/>
    <mergeCell ref="Q3:R3"/>
    <mergeCell ref="S8:U8"/>
    <mergeCell ref="Q9:R9"/>
    <mergeCell ref="S9:U9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3"/>
  <sheetViews>
    <sheetView showGridLines="0" topLeftCell="A21" zoomScaleNormal="100" workbookViewId="0">
      <selection activeCell="U31" sqref="U31"/>
    </sheetView>
  </sheetViews>
  <sheetFormatPr defaultColWidth="9.1796875" defaultRowHeight="12.75" customHeight="1"/>
  <cols>
    <col min="1" max="1" width="2.1796875" customWidth="1"/>
    <col min="2" max="2" width="15.453125" style="216" customWidth="1"/>
    <col min="3" max="3" width="14.453125" customWidth="1"/>
    <col min="4" max="4" width="27.7265625" customWidth="1"/>
    <col min="6" max="6" width="20.1796875" customWidth="1"/>
    <col min="7" max="7" width="11.453125" customWidth="1"/>
    <col min="8" max="8" width="17.453125" customWidth="1"/>
    <col min="9" max="9" width="17.453125" hidden="1" customWidth="1"/>
    <col min="10" max="10" width="14.1796875" customWidth="1"/>
    <col min="11" max="11" width="13.1796875" customWidth="1"/>
    <col min="12" max="12" width="11.1796875" customWidth="1"/>
    <col min="13" max="13" width="4.453125" customWidth="1"/>
    <col min="14" max="14" width="6.7265625" customWidth="1"/>
    <col min="17" max="17" width="11.1796875" customWidth="1"/>
    <col min="18" max="18" width="10.453125" customWidth="1"/>
    <col min="19" max="19" width="11" customWidth="1"/>
    <col min="20" max="20" width="10.81640625" customWidth="1"/>
  </cols>
  <sheetData>
    <row r="1" spans="1:20" ht="11.25" customHeight="1">
      <c r="A1" s="15"/>
      <c r="B1" s="281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0" ht="42.75" customHeight="1">
      <c r="B2" s="213" t="s">
        <v>504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  <c r="O2" s="497" t="s">
        <v>144</v>
      </c>
      <c r="P2" s="497"/>
      <c r="Q2" s="497"/>
      <c r="R2" s="497"/>
      <c r="S2" s="497"/>
      <c r="T2" s="497"/>
    </row>
    <row r="3" spans="1:20" ht="63.75" customHeight="1">
      <c r="B3" s="491" t="s">
        <v>558</v>
      </c>
      <c r="C3" s="491"/>
      <c r="D3" s="491"/>
      <c r="E3" s="491"/>
      <c r="F3" s="491"/>
      <c r="G3" s="491"/>
      <c r="H3" s="113"/>
      <c r="I3" s="113"/>
      <c r="J3" s="113"/>
      <c r="K3" s="113"/>
      <c r="L3" s="113"/>
      <c r="M3" s="114"/>
      <c r="O3" s="159"/>
      <c r="P3" s="160"/>
      <c r="Q3" s="498"/>
      <c r="R3" s="498"/>
      <c r="S3" s="161"/>
      <c r="T3" s="162"/>
    </row>
    <row r="4" spans="1:20" ht="10.5" customHeight="1">
      <c r="B4" s="76" t="s">
        <v>58</v>
      </c>
      <c r="C4" s="115" t="s">
        <v>59</v>
      </c>
      <c r="D4" s="164"/>
      <c r="E4" s="116"/>
      <c r="F4" s="116"/>
      <c r="G4" s="219"/>
      <c r="H4" s="113"/>
      <c r="I4" s="113"/>
      <c r="J4" s="113"/>
      <c r="K4" s="113"/>
      <c r="L4" s="113"/>
      <c r="M4" s="114"/>
      <c r="O4" s="159"/>
      <c r="P4" s="160"/>
      <c r="Q4" s="498"/>
      <c r="R4" s="498"/>
      <c r="S4" s="165"/>
      <c r="T4" s="166"/>
    </row>
    <row r="5" spans="1:20" ht="10.5" customHeight="1">
      <c r="B5" s="78" t="s">
        <v>61</v>
      </c>
      <c r="C5" s="115" t="s">
        <v>62</v>
      </c>
      <c r="D5" s="164"/>
      <c r="E5" s="116"/>
      <c r="F5" s="116"/>
      <c r="G5" s="219"/>
      <c r="H5" s="113"/>
      <c r="I5" s="113"/>
      <c r="J5" s="113"/>
      <c r="K5" s="113"/>
      <c r="L5" s="113"/>
      <c r="M5" s="114"/>
      <c r="O5" s="159"/>
      <c r="P5" s="160"/>
      <c r="Q5" s="498"/>
      <c r="R5" s="498"/>
      <c r="S5" s="165"/>
      <c r="T5" s="166"/>
    </row>
    <row r="6" spans="1:20" ht="9.75" customHeight="1">
      <c r="B6" s="80" t="s">
        <v>65</v>
      </c>
      <c r="C6" s="115" t="s">
        <v>66</v>
      </c>
      <c r="D6" s="164"/>
      <c r="E6" s="116"/>
      <c r="F6" s="116"/>
      <c r="G6" s="219"/>
      <c r="H6" s="113"/>
      <c r="I6" s="113"/>
      <c r="J6" s="113"/>
      <c r="K6" s="113"/>
      <c r="L6" s="113"/>
      <c r="M6" s="114"/>
      <c r="O6" s="159"/>
      <c r="P6" s="160"/>
      <c r="Q6" s="498"/>
      <c r="R6" s="498"/>
      <c r="S6" s="30"/>
      <c r="T6" s="29"/>
    </row>
    <row r="7" spans="1:20" ht="9.75" customHeight="1">
      <c r="B7" s="80"/>
      <c r="C7" s="115"/>
      <c r="D7" s="164"/>
      <c r="E7" s="116"/>
      <c r="F7" s="116"/>
      <c r="G7" s="219"/>
      <c r="H7" s="113"/>
      <c r="I7" s="113"/>
      <c r="J7" s="113"/>
      <c r="K7" s="113"/>
      <c r="L7" s="113"/>
      <c r="M7" s="114"/>
      <c r="O7" s="159"/>
      <c r="P7" s="160"/>
      <c r="Q7" s="498"/>
      <c r="R7" s="498"/>
      <c r="S7" s="30"/>
      <c r="T7" s="29"/>
    </row>
    <row r="8" spans="1:20" ht="15" customHeight="1">
      <c r="B8" s="118"/>
      <c r="C8" s="119"/>
      <c r="D8" s="119"/>
      <c r="E8" s="120"/>
      <c r="F8" s="120"/>
      <c r="G8" s="219"/>
      <c r="H8" s="113"/>
      <c r="I8" s="113"/>
      <c r="J8" s="113"/>
      <c r="K8" s="113"/>
      <c r="L8" s="113"/>
      <c r="M8" s="114"/>
      <c r="O8" s="167"/>
      <c r="P8" s="168"/>
      <c r="Q8" s="498"/>
      <c r="R8" s="498"/>
      <c r="S8" s="165"/>
      <c r="T8" s="166"/>
    </row>
    <row r="9" spans="1:20" ht="15" customHeight="1">
      <c r="A9" s="32"/>
      <c r="B9" s="122"/>
      <c r="C9" s="74"/>
      <c r="D9" s="74"/>
      <c r="E9" s="123"/>
      <c r="F9" s="123"/>
      <c r="G9" s="219"/>
      <c r="H9" s="113"/>
      <c r="I9" s="113"/>
      <c r="J9" s="113"/>
      <c r="K9" s="113"/>
      <c r="L9" s="113"/>
      <c r="M9" s="114"/>
      <c r="O9" s="169"/>
      <c r="P9" s="170"/>
      <c r="Q9" s="498"/>
      <c r="R9" s="498"/>
      <c r="S9" s="171"/>
      <c r="T9" s="172"/>
    </row>
    <row r="10" spans="1:20" ht="18" customHeight="1">
      <c r="B10" s="541" t="s">
        <v>507</v>
      </c>
      <c r="C10" s="541"/>
      <c r="D10" s="541"/>
      <c r="E10" s="541"/>
      <c r="F10" s="541"/>
      <c r="G10" s="541"/>
      <c r="H10" s="541"/>
      <c r="I10" s="316"/>
      <c r="J10" s="492"/>
      <c r="K10" s="492"/>
      <c r="L10" s="492"/>
      <c r="M10" s="492"/>
      <c r="O10" s="500" t="s">
        <v>147</v>
      </c>
      <c r="P10" s="501" t="s">
        <v>81</v>
      </c>
      <c r="Q10" s="513" t="s">
        <v>148</v>
      </c>
      <c r="R10" s="513"/>
      <c r="S10" s="514" t="s">
        <v>149</v>
      </c>
      <c r="T10" s="514"/>
    </row>
    <row r="11" spans="1:20" ht="45" customHeight="1">
      <c r="B11" s="94" t="s">
        <v>72</v>
      </c>
      <c r="C11" s="94" t="s">
        <v>90</v>
      </c>
      <c r="D11" s="94" t="s">
        <v>91</v>
      </c>
      <c r="E11" s="94" t="s">
        <v>81</v>
      </c>
      <c r="F11" s="94" t="s">
        <v>84</v>
      </c>
      <c r="G11" s="94" t="s">
        <v>82</v>
      </c>
      <c r="H11" s="94" t="s">
        <v>83</v>
      </c>
      <c r="I11" s="208" t="s">
        <v>100</v>
      </c>
      <c r="J11" s="237" t="s">
        <v>67</v>
      </c>
      <c r="K11" s="94" t="s">
        <v>74</v>
      </c>
      <c r="L11" s="94" t="s">
        <v>75</v>
      </c>
      <c r="M11" s="301" t="s">
        <v>55</v>
      </c>
      <c r="O11" s="500"/>
      <c r="P11" s="501"/>
      <c r="Q11" s="177" t="s">
        <v>151</v>
      </c>
      <c r="R11" s="178" t="s">
        <v>152</v>
      </c>
      <c r="S11" s="179" t="s">
        <v>151</v>
      </c>
      <c r="T11" s="180" t="s">
        <v>152</v>
      </c>
    </row>
    <row r="12" spans="1:20" ht="27">
      <c r="B12" s="97" t="s">
        <v>559</v>
      </c>
      <c r="C12" s="98" t="str">
        <f>VLOOKUP(B12,ИСХОДНИК!A:P,5,FALSE())</f>
        <v>PM 20 D</v>
      </c>
      <c r="D12" s="134" t="str">
        <f>VLOOKUP(B12,ИСХОДНИК!A:P,11,FALSE())</f>
        <v>Фланец. Ответные фланцы под сварку DIN</v>
      </c>
      <c r="E12" s="105">
        <f>VLOOKUP(B12,ИСХОДНИК!A:P,7,FALSE())</f>
        <v>20</v>
      </c>
      <c r="F12" s="137" t="str">
        <f>VLOOKUP(B12,ИСХОДНИК!A:P,10,FALSE())</f>
        <v>R717 и фреоны</v>
      </c>
      <c r="G12" s="137" t="str">
        <f>VLOOKUP(B12,ИСХОДНИК!A:P,8,FALSE())</f>
        <v>28 / 30</v>
      </c>
      <c r="H12" s="181" t="str">
        <f>VLOOKUP(B12,ИСХОДНИК!A:P,9,FALSE())</f>
        <v xml:space="preserve"> -45…120</v>
      </c>
      <c r="I12" s="138" t="s">
        <v>513</v>
      </c>
      <c r="J12" s="105" t="str">
        <f>VLOOKUP(B12,ИСХОДНИК!A:P,15,FALSE())</f>
        <v>U6 PL40R</v>
      </c>
      <c r="K12" s="139">
        <f>VLOOKUP(B12,ИСХОДНИК!A:P,13,FALSE())</f>
        <v>240000</v>
      </c>
      <c r="L12" s="139">
        <f>VLOOKUP(B12,ИСХОДНИК!A:P,14,FALSE())</f>
        <v>278400</v>
      </c>
      <c r="M12" s="104" t="str">
        <f>IF(VLOOKUP(B12,ИСХОДНИК!A:R,18,FALSE())=1,ИСХОДНИК!$T$2,IF(VLOOKUP(B12,ИСХОДНИК!A:R,18,FALSE())=2,ИСХОДНИК!$T$5,IF(VLOOKUP(B12,ИСХОДНИК!A:R,18,FALSE())=3,ИСХОДНИК!$T$6)))</f>
        <v>◑</v>
      </c>
      <c r="O12" s="181">
        <v>1</v>
      </c>
      <c r="P12" s="182">
        <v>20</v>
      </c>
      <c r="Q12" s="183">
        <v>26.9</v>
      </c>
      <c r="R12" s="184">
        <v>2.2999999999999998</v>
      </c>
      <c r="S12" s="185">
        <v>25</v>
      </c>
      <c r="T12" s="185">
        <v>2.5</v>
      </c>
    </row>
    <row r="13" spans="1:20" ht="27">
      <c r="B13" s="97" t="s">
        <v>560</v>
      </c>
      <c r="C13" s="98" t="str">
        <f>VLOOKUP(B13,ИСХОДНИК!A:P,5,FALSE())</f>
        <v>PM 20 G</v>
      </c>
      <c r="D13" s="134" t="str">
        <f>VLOOKUP(B13,ИСХОДНИК!A:P,11,FALSE())</f>
        <v>Фланец. Ответные фланцы под сварку GOST</v>
      </c>
      <c r="E13" s="105">
        <f>VLOOKUP(B13,ИСХОДНИК!A:P,7,FALSE())</f>
        <v>20</v>
      </c>
      <c r="F13" s="137" t="str">
        <f>VLOOKUP(B13,ИСХОДНИК!A:P,10,FALSE())</f>
        <v>R717 и фреоны</v>
      </c>
      <c r="G13" s="137" t="str">
        <f>VLOOKUP(B13,ИСХОДНИК!A:P,8,FALSE())</f>
        <v>28 / 30</v>
      </c>
      <c r="H13" s="181" t="str">
        <f>VLOOKUP(B13,ИСХОДНИК!A:P,9,FALSE())</f>
        <v xml:space="preserve"> -45…120</v>
      </c>
      <c r="I13" s="138" t="s">
        <v>515</v>
      </c>
      <c r="J13" s="105" t="str">
        <f>VLOOKUP(B13,ИСХОДНИК!A:P,15,FALSE())</f>
        <v>U6 PL40R</v>
      </c>
      <c r="K13" s="139">
        <f>VLOOKUP(B13,ИСХОДНИК!A:P,13,FALSE())</f>
        <v>240000</v>
      </c>
      <c r="L13" s="139">
        <f>VLOOKUP(B13,ИСХОДНИК!A:P,14,FALSE())</f>
        <v>278400</v>
      </c>
      <c r="M13" s="140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O13" s="105">
        <v>2</v>
      </c>
      <c r="P13" s="105">
        <v>25</v>
      </c>
      <c r="Q13" s="184">
        <v>33.700000000000003</v>
      </c>
      <c r="R13" s="184">
        <v>2.6</v>
      </c>
      <c r="S13" s="185">
        <v>32</v>
      </c>
      <c r="T13" s="185">
        <v>3</v>
      </c>
    </row>
    <row r="14" spans="1:20" ht="27">
      <c r="B14" s="97" t="s">
        <v>561</v>
      </c>
      <c r="C14" s="98" t="str">
        <f>VLOOKUP(B14,ИСХОДНИК!A:P,5,FALSE())</f>
        <v>PM 25 D</v>
      </c>
      <c r="D14" s="134" t="str">
        <f>VLOOKUP(B14,ИСХОДНИК!A:P,11,FALSE())</f>
        <v>Фланец. Ответные фланцы под сварку DIN</v>
      </c>
      <c r="E14" s="105">
        <f>VLOOKUP(B14,ИСХОДНИК!A:P,7,FALSE())</f>
        <v>25</v>
      </c>
      <c r="F14" s="137" t="str">
        <f>VLOOKUP(B14,ИСХОДНИК!A:P,10,FALSE())</f>
        <v>R717 и фреоны</v>
      </c>
      <c r="G14" s="137" t="str">
        <f>VLOOKUP(B14,ИСХОДНИК!A:P,8,FALSE())</f>
        <v>28 / 30</v>
      </c>
      <c r="H14" s="181" t="str">
        <f>VLOOKUP(B14,ИСХОДНИК!A:P,9,FALSE())</f>
        <v xml:space="preserve"> -45…120</v>
      </c>
      <c r="I14" s="138" t="s">
        <v>513</v>
      </c>
      <c r="J14" s="105" t="str">
        <f>VLOOKUP(B14,ИСХОДНИК!A:P,15,FALSE())</f>
        <v>U6 PL40R</v>
      </c>
      <c r="K14" s="139">
        <f>VLOOKUP(B14,ИСХОДНИК!A:P,13,FALSE())</f>
        <v>330000</v>
      </c>
      <c r="L14" s="139">
        <f>VLOOKUP(B14,ИСХОДНИК!A:P,14,FALSE())</f>
        <v>382800</v>
      </c>
      <c r="M14" s="104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O14" s="105">
        <v>3</v>
      </c>
      <c r="P14" s="105">
        <v>32</v>
      </c>
      <c r="Q14" s="184">
        <v>42.4</v>
      </c>
      <c r="R14" s="184">
        <v>2.6</v>
      </c>
      <c r="S14" s="185">
        <v>38</v>
      </c>
      <c r="T14" s="185">
        <v>3</v>
      </c>
    </row>
    <row r="15" spans="1:20" ht="27">
      <c r="B15" s="97" t="s">
        <v>562</v>
      </c>
      <c r="C15" s="98" t="str">
        <f>VLOOKUP(B15,ИСХОДНИК!A:P,5,FALSE())</f>
        <v>PM 25 G</v>
      </c>
      <c r="D15" s="134" t="str">
        <f>VLOOKUP(B15,ИСХОДНИК!A:P,11,FALSE())</f>
        <v>Фланец. Ответные фланцы под сварку GOST</v>
      </c>
      <c r="E15" s="105">
        <f>VLOOKUP(B15,ИСХОДНИК!A:P,7,FALSE())</f>
        <v>25</v>
      </c>
      <c r="F15" s="137" t="str">
        <f>VLOOKUP(B15,ИСХОДНИК!A:P,10,FALSE())</f>
        <v>R717 и фреоны</v>
      </c>
      <c r="G15" s="137" t="str">
        <f>VLOOKUP(B15,ИСХОДНИК!A:P,8,FALSE())</f>
        <v>28 / 30</v>
      </c>
      <c r="H15" s="181" t="str">
        <f>VLOOKUP(B15,ИСХОДНИК!A:P,9,FALSE())</f>
        <v xml:space="preserve"> -45…120</v>
      </c>
      <c r="I15" s="138" t="s">
        <v>515</v>
      </c>
      <c r="J15" s="105" t="str">
        <f>VLOOKUP(B15,ИСХОДНИК!A:P,15,FALSE())</f>
        <v>U6 PL40R</v>
      </c>
      <c r="K15" s="139">
        <f>VLOOKUP(B15,ИСХОДНИК!A:P,13,FALSE())</f>
        <v>330000</v>
      </c>
      <c r="L15" s="139">
        <f>VLOOKUP(B15,ИСХОДНИК!A:P,14,FALSE())</f>
        <v>382800</v>
      </c>
      <c r="M15" s="140" t="str">
        <f>IF(VLOOKUP(B15,ИСХОДНИК!A:R,18,FALSE())=1,ИСХОДНИК!$T$2,IF(VLOOKUP(B15,ИСХОДНИК!A:R,18,FALSE())=2,ИСХОДНИК!$T$5,IF(VLOOKUP(B15,ИСХОДНИК!A:R,18,FALSE())=3,ИСХОДНИК!$T$6)))</f>
        <v>○</v>
      </c>
      <c r="O15" s="105">
        <v>4</v>
      </c>
      <c r="P15" s="105">
        <v>40</v>
      </c>
      <c r="Q15" s="184">
        <v>48.3</v>
      </c>
      <c r="R15" s="184">
        <v>2.6</v>
      </c>
      <c r="S15" s="185">
        <v>45</v>
      </c>
      <c r="T15" s="185">
        <v>3</v>
      </c>
    </row>
    <row r="16" spans="1:20" ht="27">
      <c r="B16" s="97" t="s">
        <v>563</v>
      </c>
      <c r="C16" s="98" t="str">
        <f>VLOOKUP(B16,ИСХОДНИК!A:P,5,FALSE())</f>
        <v>PM 32 D</v>
      </c>
      <c r="D16" s="134" t="str">
        <f>VLOOKUP(B16,ИСХОДНИК!A:P,11,FALSE())</f>
        <v>Фланец. Ответные фланцы под сварку DIN</v>
      </c>
      <c r="E16" s="105">
        <f>VLOOKUP(B16,ИСХОДНИК!A:P,7,FALSE())</f>
        <v>32</v>
      </c>
      <c r="F16" s="137" t="str">
        <f>VLOOKUP(B16,ИСХОДНИК!A:P,10,FALSE())</f>
        <v>R717 и фреоны</v>
      </c>
      <c r="G16" s="137" t="str">
        <f>VLOOKUP(B16,ИСХОДНИК!A:P,8,FALSE())</f>
        <v>28 / 30</v>
      </c>
      <c r="H16" s="181" t="str">
        <f>VLOOKUP(B16,ИСХОДНИК!A:P,9,FALSE())</f>
        <v xml:space="preserve"> -45…120</v>
      </c>
      <c r="I16" s="138" t="s">
        <v>513</v>
      </c>
      <c r="J16" s="105" t="str">
        <f>VLOOKUP(B16,ИСХОДНИК!A:P,15,FALSE())</f>
        <v>U6 PL40R</v>
      </c>
      <c r="K16" s="139">
        <f>VLOOKUP(B16,ИСХОДНИК!A:P,13,FALSE())</f>
        <v>408000</v>
      </c>
      <c r="L16" s="139">
        <f>VLOOKUP(B16,ИСХОДНИК!A:P,14,FALSE())</f>
        <v>473279.99999999994</v>
      </c>
      <c r="M16" s="104" t="str">
        <f>IF(VLOOKUP(B16,ИСХОДНИК!A:R,18,FALSE())=1,ИСХОДНИК!$T$2,IF(VLOOKUP(B16,ИСХОДНИК!A:R,18,FALSE())=2,ИСХОДНИК!$T$5,IF(VLOOKUP(B16,ИСХОДНИК!A:R,18,FALSE())=3,ИСХОДНИК!$T$6)))</f>
        <v>◑</v>
      </c>
      <c r="O16" s="105">
        <v>5</v>
      </c>
      <c r="P16" s="105">
        <v>50</v>
      </c>
      <c r="Q16" s="184">
        <v>60.3</v>
      </c>
      <c r="R16" s="184">
        <v>2.9</v>
      </c>
      <c r="S16" s="185">
        <v>57</v>
      </c>
      <c r="T16" s="185">
        <v>3.5</v>
      </c>
    </row>
    <row r="17" spans="2:20" ht="27">
      <c r="B17" s="97" t="s">
        <v>564</v>
      </c>
      <c r="C17" s="98" t="str">
        <f>VLOOKUP(B17,ИСХОДНИК!A:P,5,FALSE())</f>
        <v>PM 32 G</v>
      </c>
      <c r="D17" s="134" t="str">
        <f>VLOOKUP(B17,ИСХОДНИК!A:P,11,FALSE())</f>
        <v>Фланец. Ответные фланцы под сварку GOST</v>
      </c>
      <c r="E17" s="105">
        <f>VLOOKUP(B17,ИСХОДНИК!A:P,7,FALSE())</f>
        <v>32</v>
      </c>
      <c r="F17" s="137" t="str">
        <f>VLOOKUP(B17,ИСХОДНИК!A:P,10,FALSE())</f>
        <v>R717 и фреоны</v>
      </c>
      <c r="G17" s="137" t="str">
        <f>VLOOKUP(B17,ИСХОДНИК!A:P,8,FALSE())</f>
        <v>28 / 30</v>
      </c>
      <c r="H17" s="181" t="str">
        <f>VLOOKUP(B17,ИСХОДНИК!A:P,9,FALSE())</f>
        <v xml:space="preserve"> -45…120</v>
      </c>
      <c r="I17" s="138" t="s">
        <v>515</v>
      </c>
      <c r="J17" s="105" t="str">
        <f>VLOOKUP(B17,ИСХОДНИК!A:P,15,FALSE())</f>
        <v>U6 PL40R</v>
      </c>
      <c r="K17" s="139">
        <f>VLOOKUP(B17,ИСХОДНИК!A:P,13,FALSE())</f>
        <v>408000</v>
      </c>
      <c r="L17" s="139">
        <f>VLOOKUP(B17,ИСХОДНИК!A:P,14,FALSE())</f>
        <v>473279.99999999994</v>
      </c>
      <c r="M17" s="140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O17" s="105">
        <v>6</v>
      </c>
      <c r="P17" s="105">
        <v>65</v>
      </c>
      <c r="Q17" s="184">
        <v>76.099999999999994</v>
      </c>
      <c r="R17" s="184">
        <v>2.9</v>
      </c>
      <c r="S17" s="184">
        <v>76.099999999999994</v>
      </c>
      <c r="T17" s="184">
        <v>2.9</v>
      </c>
    </row>
    <row r="18" spans="2:20" ht="27">
      <c r="B18" s="97" t="s">
        <v>565</v>
      </c>
      <c r="C18" s="98" t="str">
        <f>VLOOKUP(B18,ИСХОДНИК!A:P,5,FALSE())</f>
        <v>PM 40 D</v>
      </c>
      <c r="D18" s="134" t="str">
        <f>VLOOKUP(B18,ИСХОДНИК!A:P,11,FALSE())</f>
        <v>Фланец. Ответные фланцы под сварку DIN</v>
      </c>
      <c r="E18" s="105">
        <f>VLOOKUP(B18,ИСХОДНИК!A:P,7,FALSE())</f>
        <v>40</v>
      </c>
      <c r="F18" s="137" t="str">
        <f>VLOOKUP(B18,ИСХОДНИК!A:P,10,FALSE())</f>
        <v>R717 и фреоны</v>
      </c>
      <c r="G18" s="137" t="str">
        <f>VLOOKUP(B18,ИСХОДНИК!A:P,8,FALSE())</f>
        <v>28 / 30</v>
      </c>
      <c r="H18" s="181" t="str">
        <f>VLOOKUP(B18,ИСХОДНИК!A:P,9,FALSE())</f>
        <v xml:space="preserve"> -45…120</v>
      </c>
      <c r="I18" s="138" t="s">
        <v>513</v>
      </c>
      <c r="J18" s="105" t="str">
        <f>VLOOKUP(B18,ИСХОДНИК!A:P,15,FALSE())</f>
        <v>U6 PL40R</v>
      </c>
      <c r="K18" s="139">
        <f>VLOOKUP(B18,ИСХОДНИК!A:P,13,FALSE())</f>
        <v>468000</v>
      </c>
      <c r="L18" s="139">
        <f>VLOOKUP(B18,ИСХОДНИК!A:P,14,FALSE())</f>
        <v>542880</v>
      </c>
      <c r="M18" s="104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O18" s="105">
        <v>7</v>
      </c>
      <c r="P18" s="105">
        <v>80</v>
      </c>
      <c r="Q18" s="184">
        <v>88.9</v>
      </c>
      <c r="R18" s="184">
        <v>3.2</v>
      </c>
      <c r="S18" s="184">
        <v>88.9</v>
      </c>
      <c r="T18" s="184">
        <v>3.2</v>
      </c>
    </row>
    <row r="19" spans="2:20" ht="27">
      <c r="B19" s="97" t="s">
        <v>566</v>
      </c>
      <c r="C19" s="98" t="str">
        <f>VLOOKUP(B19,ИСХОДНИК!A:P,5,FALSE())</f>
        <v>PM 40 G</v>
      </c>
      <c r="D19" s="134" t="str">
        <f>VLOOKUP(B19,ИСХОДНИК!A:P,11,FALSE())</f>
        <v>Фланец. Ответные фланцы под сварку GOST</v>
      </c>
      <c r="E19" s="105">
        <f>VLOOKUP(B19,ИСХОДНИК!A:P,7,FALSE())</f>
        <v>40</v>
      </c>
      <c r="F19" s="137" t="str">
        <f>VLOOKUP(B19,ИСХОДНИК!A:P,10,FALSE())</f>
        <v>R717 и фреоны</v>
      </c>
      <c r="G19" s="137" t="str">
        <f>VLOOKUP(B19,ИСХОДНИК!A:P,8,FALSE())</f>
        <v>28 / 30</v>
      </c>
      <c r="H19" s="181" t="str">
        <f>VLOOKUP(B19,ИСХОДНИК!A:P,9,FALSE())</f>
        <v xml:space="preserve"> -45…120</v>
      </c>
      <c r="I19" s="138" t="s">
        <v>515</v>
      </c>
      <c r="J19" s="105" t="str">
        <f>VLOOKUP(B19,ИСХОДНИК!A:P,15,FALSE())</f>
        <v>U6 PL40R</v>
      </c>
      <c r="K19" s="139">
        <f>VLOOKUP(B19,ИСХОДНИК!A:P,13,FALSE())</f>
        <v>468000</v>
      </c>
      <c r="L19" s="139">
        <f>VLOOKUP(B19,ИСХОДНИК!A:P,14,FALSE())</f>
        <v>542880</v>
      </c>
      <c r="M19" s="140" t="str">
        <f>IF(VLOOKUP(B19,ИСХОДНИК!A:R,18,FALSE())=1,ИСХОДНИК!$T$2,IF(VLOOKUP(B19,ИСХОДНИК!A:R,18,FALSE())=2,ИСХОДНИК!$T$5,IF(VLOOKUP(B19,ИСХОДНИК!A:R,18,FALSE())=3,ИСХОДНИК!$T$6)))</f>
        <v>○</v>
      </c>
      <c r="O19" s="105">
        <v>8</v>
      </c>
      <c r="P19" s="105">
        <v>100</v>
      </c>
      <c r="Q19" s="184">
        <v>114.3</v>
      </c>
      <c r="R19" s="184">
        <v>3.6</v>
      </c>
      <c r="S19" s="185">
        <v>108</v>
      </c>
      <c r="T19" s="185">
        <v>4</v>
      </c>
    </row>
    <row r="20" spans="2:20" ht="27">
      <c r="B20" s="97" t="s">
        <v>567</v>
      </c>
      <c r="C20" s="98" t="str">
        <f>VLOOKUP(B20,ИСХОДНИК!A:P,5,FALSE())</f>
        <v>PM 50 D</v>
      </c>
      <c r="D20" s="134" t="str">
        <f>VLOOKUP(B20,ИСХОДНИК!A:P,11,FALSE())</f>
        <v>Фланец. Ответные фланцы под сварку DIN</v>
      </c>
      <c r="E20" s="105">
        <f>VLOOKUP(B20,ИСХОДНИК!A:P,7,FALSE())</f>
        <v>50</v>
      </c>
      <c r="F20" s="137" t="str">
        <f>VLOOKUP(B20,ИСХОДНИК!A:P,10,FALSE())</f>
        <v>R717 и фреоны</v>
      </c>
      <c r="G20" s="137" t="str">
        <f>VLOOKUP(B20,ИСХОДНИК!A:P,8,FALSE())</f>
        <v>28 / 30</v>
      </c>
      <c r="H20" s="181" t="str">
        <f>VLOOKUP(B20,ИСХОДНИК!A:P,9,FALSE())</f>
        <v xml:space="preserve"> -45…120</v>
      </c>
      <c r="I20" s="138" t="s">
        <v>513</v>
      </c>
      <c r="J20" s="105" t="str">
        <f>VLOOKUP(B20,ИСХОДНИК!A:P,15,FALSE())</f>
        <v>U6 PL40R</v>
      </c>
      <c r="K20" s="139">
        <f>VLOOKUP(B20,ИСХОДНИК!A:P,13,FALSE())</f>
        <v>546000</v>
      </c>
      <c r="L20" s="139">
        <f>VLOOKUP(B20,ИСХОДНИК!A:P,14,FALSE())</f>
        <v>633360</v>
      </c>
      <c r="M20" s="104" t="str">
        <f>IF(VLOOKUP(B20,ИСХОДНИК!A:R,18,FALSE())=1,ИСХОДНИК!$T$2,IF(VLOOKUP(B20,ИСХОДНИК!A:R,18,FALSE())=2,ИСХОДНИК!$T$5,IF(VLOOKUP(B20,ИСХОДНИК!A:R,18,FALSE())=3,ИСХОДНИК!$T$6)))</f>
        <v>◑</v>
      </c>
    </row>
    <row r="21" spans="2:20" ht="27">
      <c r="B21" s="97" t="s">
        <v>568</v>
      </c>
      <c r="C21" s="98" t="str">
        <f>VLOOKUP(B21,ИСХОДНИК!A:P,5,FALSE())</f>
        <v>PM 50 G</v>
      </c>
      <c r="D21" s="134" t="str">
        <f>VLOOKUP(B21,ИСХОДНИК!A:P,11,FALSE())</f>
        <v>Фланец. Ответные фланцы под сварку GOST</v>
      </c>
      <c r="E21" s="105">
        <f>VLOOKUP(B21,ИСХОДНИК!A:P,7,FALSE())</f>
        <v>50</v>
      </c>
      <c r="F21" s="137" t="str">
        <f>VLOOKUP(B21,ИСХОДНИК!A:P,10,FALSE())</f>
        <v>R717 и фреоны</v>
      </c>
      <c r="G21" s="137" t="str">
        <f>VLOOKUP(B21,ИСХОДНИК!A:P,8,FALSE())</f>
        <v>28 / 30</v>
      </c>
      <c r="H21" s="181" t="str">
        <f>VLOOKUP(B21,ИСХОДНИК!A:P,9,FALSE())</f>
        <v xml:space="preserve"> -45…120</v>
      </c>
      <c r="I21" s="138" t="s">
        <v>515</v>
      </c>
      <c r="J21" s="105" t="str">
        <f>VLOOKUP(B21,ИСХОДНИК!A:P,15,FALSE())</f>
        <v>U6 PL40R</v>
      </c>
      <c r="K21" s="139">
        <f>VLOOKUP(B21,ИСХОДНИК!A:P,13,FALSE())</f>
        <v>546000</v>
      </c>
      <c r="L21" s="139">
        <f>VLOOKUP(B21,ИСХОДНИК!A:P,14,FALSE())</f>
        <v>633360</v>
      </c>
      <c r="M21" s="140" t="str">
        <f>IF(VLOOKUP(B21,ИСХОДНИК!A:R,18,FALSE())=1,ИСХОДНИК!$T$2,IF(VLOOKUP(B21,ИСХОДНИК!A:R,18,FALSE())=2,ИСХОДНИК!$T$5,IF(VLOOKUP(B21,ИСХОДНИК!A:R,18,FALSE())=3,ИСХОДНИК!$T$6)))</f>
        <v>○</v>
      </c>
    </row>
    <row r="22" spans="2:20" ht="27">
      <c r="B22" s="97" t="s">
        <v>569</v>
      </c>
      <c r="C22" s="98" t="str">
        <f>VLOOKUP(B22,ИСХОДНИК!A:P,5,FALSE())</f>
        <v>PM 65 D</v>
      </c>
      <c r="D22" s="134" t="str">
        <f>VLOOKUP(B22,ИСХОДНИК!A:P,11,FALSE())</f>
        <v>Фланец. Ответные фланцы под сварку DIN</v>
      </c>
      <c r="E22" s="105">
        <f>VLOOKUP(B22,ИСХОДНИК!A:P,7,FALSE())</f>
        <v>65</v>
      </c>
      <c r="F22" s="137" t="str">
        <f>VLOOKUP(B22,ИСХОДНИК!A:P,10,FALSE())</f>
        <v>R717 и фреоны</v>
      </c>
      <c r="G22" s="137" t="str">
        <f>VLOOKUP(B22,ИСХОДНИК!A:P,8,FALSE())</f>
        <v>28 / 30</v>
      </c>
      <c r="H22" s="181" t="str">
        <f>VLOOKUP(B22,ИСХОДНИК!A:P,9,FALSE())</f>
        <v xml:space="preserve"> -45…120</v>
      </c>
      <c r="I22" s="138" t="s">
        <v>513</v>
      </c>
      <c r="J22" s="105" t="str">
        <f>VLOOKUP(B22,ИСХОДНИК!A:P,15,FALSE())</f>
        <v>U6 PL40R</v>
      </c>
      <c r="K22" s="139">
        <f>VLOOKUP(B22,ИСХОДНИК!A:P,13,FALSE())</f>
        <v>690000</v>
      </c>
      <c r="L22" s="139">
        <f>VLOOKUP(B22,ИСХОДНИК!A:P,14,FALSE())</f>
        <v>800400</v>
      </c>
      <c r="M22" s="104" t="str">
        <f>IF(VLOOKUP(B22,ИСХОДНИК!A:R,18,FALSE())=1,ИСХОДНИК!$T$2,IF(VLOOKUP(B22,ИСХОДНИК!A:R,18,FALSE())=2,ИСХОДНИК!$T$5,IF(VLOOKUP(B22,ИСХОДНИК!A:R,18,FALSE())=3,ИСХОДНИК!$T$6)))</f>
        <v>◑</v>
      </c>
    </row>
    <row r="23" spans="2:20" ht="27">
      <c r="B23" s="97" t="s">
        <v>570</v>
      </c>
      <c r="C23" s="98" t="str">
        <f>VLOOKUP(B23,ИСХОДНИК!A:P,5,FALSE())</f>
        <v>PM 80 D</v>
      </c>
      <c r="D23" s="134" t="str">
        <f>VLOOKUP(B23,ИСХОДНИК!A:P,11,FALSE())</f>
        <v>Фланец. Ответные фланцы под сварку DIN</v>
      </c>
      <c r="E23" s="105">
        <f>VLOOKUP(B23,ИСХОДНИК!A:P,7,FALSE())</f>
        <v>80</v>
      </c>
      <c r="F23" s="137" t="str">
        <f>VLOOKUP(B23,ИСХОДНИК!A:P,10,FALSE())</f>
        <v>R717 и фреоны</v>
      </c>
      <c r="G23" s="137" t="str">
        <f>VLOOKUP(B23,ИСХОДНИК!A:P,8,FALSE())</f>
        <v>28 / 30</v>
      </c>
      <c r="H23" s="181" t="str">
        <f>VLOOKUP(B23,ИСХОДНИК!A:P,9,FALSE())</f>
        <v xml:space="preserve"> -45…120</v>
      </c>
      <c r="I23" s="138" t="s">
        <v>513</v>
      </c>
      <c r="J23" s="105" t="str">
        <f>VLOOKUP(B23,ИСХОДНИК!A:P,15,FALSE())</f>
        <v>U6 PL40R</v>
      </c>
      <c r="K23" s="139">
        <f>VLOOKUP(B23,ИСХОДНИК!A:P,13,FALSE())</f>
        <v>972000</v>
      </c>
      <c r="L23" s="139">
        <f>VLOOKUP(B23,ИСХОДНИК!A:P,14,FALSE())</f>
        <v>1127520</v>
      </c>
      <c r="M23" s="104" t="str">
        <f>IF(VLOOKUP(B23,ИСХОДНИК!A:R,18,FALSE())=1,ИСХОДНИК!$T$2,IF(VLOOKUP(B23,ИСХОДНИК!A:R,18,FALSE())=2,ИСХОДНИК!$T$5,IF(VLOOKUP(B23,ИСХОДНИК!A:R,18,FALSE())=3,ИСХОДНИК!$T$6)))</f>
        <v>◑</v>
      </c>
    </row>
    <row r="24" spans="2:20" ht="27">
      <c r="B24" s="97" t="s">
        <v>571</v>
      </c>
      <c r="C24" s="98" t="str">
        <f>VLOOKUP(B24,ИСХОДНИК!A:P,5,FALSE())</f>
        <v>PM 100 D</v>
      </c>
      <c r="D24" s="134" t="str">
        <f>VLOOKUP(B24,ИСХОДНИК!A:P,11,FALSE())</f>
        <v>Фланец. Ответные фланцы под сварку DIN</v>
      </c>
      <c r="E24" s="105">
        <f>VLOOKUP(B24,ИСХОДНИК!A:P,7,FALSE())</f>
        <v>100</v>
      </c>
      <c r="F24" s="137" t="str">
        <f>VLOOKUP(B24,ИСХОДНИК!A:P,10,FALSE())</f>
        <v>R717 и фреоны</v>
      </c>
      <c r="G24" s="137" t="str">
        <f>VLOOKUP(B24,ИСХОДНИК!A:P,8,FALSE())</f>
        <v>28 / 30</v>
      </c>
      <c r="H24" s="181" t="str">
        <f>VLOOKUP(B24,ИСХОДНИК!A:P,9,FALSE())</f>
        <v xml:space="preserve"> -45…120</v>
      </c>
      <c r="I24" s="138" t="s">
        <v>513</v>
      </c>
      <c r="J24" s="105" t="str">
        <f>VLOOKUP(B24,ИСХОДНИК!A:P,15,FALSE())</f>
        <v>U6 PL40R</v>
      </c>
      <c r="K24" s="139">
        <f>VLOOKUP(B24,ИСХОДНИК!A:P,13,FALSE())</f>
        <v>1410000</v>
      </c>
      <c r="L24" s="139">
        <f>VLOOKUP(B24,ИСХОДНИК!A:P,14,FALSE())</f>
        <v>1635600</v>
      </c>
      <c r="M24" s="104" t="str">
        <f>IF(VLOOKUP(B24,ИСХОДНИК!A:R,18,FALSE())=1,ИСХОДНИК!$T$2,IF(VLOOKUP(B24,ИСХОДНИК!A:R,18,FALSE())=2,ИСХОДНИК!$T$5,IF(VLOOKUP(B24,ИСХОДНИК!A:R,18,FALSE())=3,ИСХОДНИК!$T$6)))</f>
        <v>◑</v>
      </c>
    </row>
    <row r="25" spans="2:20" ht="27">
      <c r="B25" s="97" t="s">
        <v>572</v>
      </c>
      <c r="C25" s="98" t="str">
        <f>VLOOKUP(B25,ИСХОДНИК!A:P,5,FALSE())</f>
        <v>PM 100 G</v>
      </c>
      <c r="D25" s="134" t="str">
        <f>VLOOKUP(B25,ИСХОДНИК!A:P,11,FALSE())</f>
        <v>Фланец. Ответные фланцы под сварку GOST</v>
      </c>
      <c r="E25" s="105">
        <f>VLOOKUP(B25,ИСХОДНИК!A:P,7,FALSE())</f>
        <v>100</v>
      </c>
      <c r="F25" s="137" t="str">
        <f>VLOOKUP(B25,ИСХОДНИК!A:P,10,FALSE())</f>
        <v>R717 и фреоны</v>
      </c>
      <c r="G25" s="137" t="str">
        <f>VLOOKUP(B25,ИСХОДНИК!A:P,8,FALSE())</f>
        <v>28 / 30</v>
      </c>
      <c r="H25" s="181" t="str">
        <f>VLOOKUP(B25,ИСХОДНИК!A:P,9,FALSE())</f>
        <v xml:space="preserve"> -45…120</v>
      </c>
      <c r="I25" s="138" t="s">
        <v>513</v>
      </c>
      <c r="J25" s="105" t="str">
        <f>VLOOKUP(B25,ИСХОДНИК!A:P,15,FALSE())</f>
        <v>U6 PL40R</v>
      </c>
      <c r="K25" s="139">
        <f>VLOOKUP(B25,ИСХОДНИК!A:P,13,FALSE())</f>
        <v>1410000</v>
      </c>
      <c r="L25" s="139">
        <f>VLOOKUP(B25,ИСХОДНИК!A:P,14,FALSE())</f>
        <v>1635600</v>
      </c>
      <c r="M25" s="140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8" spans="2:20" ht="13.5">
      <c r="B28" s="516" t="s">
        <v>199</v>
      </c>
      <c r="C28" s="516"/>
      <c r="D28" s="516"/>
      <c r="E28" s="516"/>
      <c r="F28" s="516"/>
      <c r="G28" s="516"/>
      <c r="H28" s="516"/>
      <c r="I28" s="516"/>
      <c r="J28" s="516"/>
      <c r="K28" s="516"/>
      <c r="L28" s="516"/>
      <c r="M28" s="516"/>
    </row>
    <row r="29" spans="2:20" ht="32.25" customHeight="1">
      <c r="B29" s="545" t="s">
        <v>530</v>
      </c>
      <c r="C29" s="545"/>
      <c r="D29" s="545" t="s">
        <v>534</v>
      </c>
      <c r="E29" s="545"/>
      <c r="F29" s="547" t="s">
        <v>531</v>
      </c>
      <c r="G29" s="547"/>
      <c r="H29" s="547"/>
      <c r="I29" s="547"/>
      <c r="J29" s="547"/>
      <c r="K29" s="547" t="s">
        <v>533</v>
      </c>
      <c r="L29" s="547"/>
      <c r="M29" s="547"/>
    </row>
    <row r="30" spans="2:20" ht="217.5" customHeight="1">
      <c r="B30" s="548"/>
      <c r="C30" s="548"/>
      <c r="D30" s="552"/>
      <c r="E30" s="552"/>
      <c r="F30" s="317"/>
      <c r="G30" s="318"/>
      <c r="H30" s="318"/>
      <c r="I30" s="318"/>
      <c r="J30" s="319"/>
      <c r="K30" s="553"/>
      <c r="L30" s="553"/>
      <c r="M30" s="553"/>
    </row>
    <row r="31" spans="2:20" ht="35" customHeight="1">
      <c r="B31" s="237" t="s">
        <v>72</v>
      </c>
      <c r="C31" s="500" t="s">
        <v>2</v>
      </c>
      <c r="D31" s="500"/>
      <c r="E31" s="500"/>
      <c r="F31" s="500"/>
      <c r="G31" s="500"/>
      <c r="H31" s="237" t="s">
        <v>201</v>
      </c>
      <c r="I31" s="300"/>
      <c r="J31" s="237" t="s">
        <v>67</v>
      </c>
      <c r="K31" s="95" t="s">
        <v>74</v>
      </c>
      <c r="L31" s="95" t="s">
        <v>75</v>
      </c>
      <c r="M31" s="301" t="s">
        <v>55</v>
      </c>
    </row>
    <row r="32" spans="2:20" ht="18.75" customHeight="1">
      <c r="B32" s="97" t="s">
        <v>535</v>
      </c>
      <c r="C32" s="320" t="str">
        <f>VLOOKUP(B32,ИСХОДНИК!A:P,3,FALSE())</f>
        <v>Заглушка типа "А" с прокладками для клапанов ICS-R/ PM</v>
      </c>
      <c r="D32" s="321"/>
      <c r="E32" s="321"/>
      <c r="F32" s="321"/>
      <c r="G32" s="322"/>
      <c r="H32" s="105" t="s">
        <v>573</v>
      </c>
      <c r="I32" s="323"/>
      <c r="J32" s="105" t="str">
        <f>VLOOKUP(B32,ИСХОДНИК!A:P,15,FALSE())</f>
        <v>U6 PL40R</v>
      </c>
      <c r="K32" s="139">
        <f>VLOOKUP(B32,ИСХОДНИК!A:P,13,FALSE())</f>
        <v>9000</v>
      </c>
      <c r="L32" s="139">
        <f>VLOOKUP(B32,ИСХОДНИК!A:P,14,FALSE())</f>
        <v>10440</v>
      </c>
      <c r="M32" s="105" t="str">
        <f>IF(VLOOKUP(B32,ИСХОДНИК!A:R,18,FALSE())=1,ИСХОДНИК!$T$2,IF(VLOOKUP(B32,ИСХОДНИК!A:R,18,FALSE())=2,ИСХОДНИК!$T$5,IF(VLOOKUP(B32,ИСХОДНИК!A:R,18,FALSE())=3,ИСХОДНИК!$T$6)))</f>
        <v>◑</v>
      </c>
    </row>
    <row r="33" spans="1:16" ht="18.75" customHeight="1">
      <c r="B33" s="97" t="s">
        <v>537</v>
      </c>
      <c r="C33" s="320" t="str">
        <f>VLOOKUP(B33,ИСХОДНИК!A:P,3,FALSE())</f>
        <v>Заглушка типа "B" с прокладками для клапанов ICS-R/ PM</v>
      </c>
      <c r="D33" s="321"/>
      <c r="E33" s="321"/>
      <c r="F33" s="321"/>
      <c r="G33" s="322"/>
      <c r="H33" s="105" t="s">
        <v>574</v>
      </c>
      <c r="I33" s="323"/>
      <c r="J33" s="105" t="str">
        <f>VLOOKUP(B33,ИСХОДНИК!A:P,15,FALSE())</f>
        <v>U6 PL40R</v>
      </c>
      <c r="K33" s="139">
        <f>VLOOKUP(B33,ИСХОДНИК!A:P,13,FALSE())</f>
        <v>21000</v>
      </c>
      <c r="L33" s="139">
        <f>VLOOKUP(B33,ИСХОДНИК!A:P,14,FALSE())</f>
        <v>24360</v>
      </c>
      <c r="M33" s="105" t="str">
        <f>IF(VLOOKUP(B33,ИСХОДНИК!A:R,18,FALSE())=1,ИСХОДНИК!$T$2,IF(VLOOKUP(B33,ИСХОДНИК!A:R,18,FALSE())=2,ИСХОДНИК!$T$5,IF(VLOOKUP(B33,ИСХОДНИК!A:R,18,FALSE())=3,ИСХОДНИК!$T$6)))</f>
        <v>◑</v>
      </c>
    </row>
    <row r="34" spans="1:16" ht="18" customHeight="1">
      <c r="A34" s="15"/>
      <c r="B34" s="281"/>
      <c r="C34" s="324"/>
      <c r="D34" s="324"/>
      <c r="E34" s="324"/>
      <c r="F34" s="324"/>
      <c r="G34" s="324"/>
      <c r="H34" s="324"/>
      <c r="I34" s="15"/>
      <c r="J34" s="325"/>
      <c r="K34" s="241"/>
      <c r="L34" s="241"/>
      <c r="M34" s="325"/>
      <c r="N34" s="15"/>
      <c r="O34" s="15"/>
      <c r="P34" s="15"/>
    </row>
    <row r="35" spans="1:16" ht="18.75" customHeight="1">
      <c r="B35" s="97" t="s">
        <v>501</v>
      </c>
      <c r="C35" s="320" t="str">
        <f>VLOOKUP(B35,ИСХОДНИК!A:P,3,FALSE())</f>
        <v>Ревизионный набор прокладок DN 20-25. PM, EVRAT, CVH</v>
      </c>
      <c r="D35" s="321"/>
      <c r="E35" s="321"/>
      <c r="F35" s="321"/>
      <c r="G35" s="322"/>
      <c r="H35" s="105" t="s">
        <v>540</v>
      </c>
      <c r="I35" s="326"/>
      <c r="J35" s="105" t="str">
        <f>VLOOKUP(B35,ИСХОДНИК!A:P,15,FALSE())</f>
        <v>U6 PL40R</v>
      </c>
      <c r="K35" s="139">
        <f>VLOOKUP(B35,ИСХОДНИК!A:P,13,FALSE())</f>
        <v>21000</v>
      </c>
      <c r="L35" s="139">
        <f>VLOOKUP(B35,ИСХОДНИК!A:P,14,FALSE())</f>
        <v>24360</v>
      </c>
      <c r="M35" s="105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1:16" ht="18.75" customHeight="1">
      <c r="B36" s="97" t="s">
        <v>575</v>
      </c>
      <c r="C36" s="320" t="str">
        <f>VLOOKUP(B36,ИСХОДНИК!A:P,3,FALSE())</f>
        <v>Ревизионный набор прокладок DN 32-40. PM, PMLX, EVRA</v>
      </c>
      <c r="D36" s="321"/>
      <c r="E36" s="321"/>
      <c r="F36" s="321"/>
      <c r="G36" s="321"/>
      <c r="H36" s="105" t="s">
        <v>540</v>
      </c>
      <c r="I36" s="326"/>
      <c r="J36" s="105" t="str">
        <f>VLOOKUP(B36,ИСХОДНИК!A:P,15,FALSE())</f>
        <v>U6 PL40R</v>
      </c>
      <c r="K36" s="139">
        <f>VLOOKUP(B36,ИСХОДНИК!A:P,13,FALSE())</f>
        <v>37200</v>
      </c>
      <c r="L36" s="139">
        <f>VLOOKUP(B36,ИСХОДНИК!A:P,14,FALSE())</f>
        <v>43152</v>
      </c>
      <c r="M36" s="105" t="str">
        <f>IF(VLOOKUP(B36,ИСХОДНИК!A:R,18,FALSE())=1,ИСХОДНИК!$T$2,IF(VLOOKUP(B36,ИСХОДНИК!A:R,18,FALSE())=2,ИСХОДНИК!$T$5,IF(VLOOKUP(B36,ИСХОДНИК!A:R,18,FALSE())=3,ИСХОДНИК!$T$6)))</f>
        <v>◑</v>
      </c>
    </row>
    <row r="37" spans="1:16" ht="18.75" customHeight="1">
      <c r="B37" s="97" t="s">
        <v>576</v>
      </c>
      <c r="C37" s="320" t="str">
        <f>VLOOKUP(B37,ИСХОДНИК!A:P,3,FALSE())</f>
        <v>Ревизионный набор прокладок DN 50. Для клапанов PM, PMLX, EVRA</v>
      </c>
      <c r="D37" s="321"/>
      <c r="E37" s="321"/>
      <c r="F37" s="321"/>
      <c r="G37" s="321"/>
      <c r="H37" s="105" t="s">
        <v>540</v>
      </c>
      <c r="I37" s="326"/>
      <c r="J37" s="105" t="str">
        <f>VLOOKUP(B37,ИСХОДНИК!A:P,15,FALSE())</f>
        <v>U6 PL40R</v>
      </c>
      <c r="K37" s="139">
        <f>VLOOKUP(B37,ИСХОДНИК!A:P,13,FALSE())</f>
        <v>45000</v>
      </c>
      <c r="L37" s="139">
        <f>VLOOKUP(B37,ИСХОДНИК!A:P,14,FALSE())</f>
        <v>52200</v>
      </c>
      <c r="M37" s="105" t="str">
        <f>IF(VLOOKUP(B37,ИСХОДНИК!A:R,18,FALSE())=1,ИСХОДНИК!$T$2,IF(VLOOKUP(B37,ИСХОДНИК!A:R,18,FALSE())=2,ИСХОДНИК!$T$5,IF(VLOOKUP(B37,ИСХОДНИК!A:R,18,FALSE())=3,ИСХОДНИК!$T$6)))</f>
        <v>◑</v>
      </c>
    </row>
    <row r="38" spans="1:16" ht="18.75" customHeight="1">
      <c r="B38" s="97" t="s">
        <v>577</v>
      </c>
      <c r="C38" s="320" t="str">
        <f>VLOOKUP(B38,ИСХОДНИК!A:P,3,FALSE())</f>
        <v>Ревизионный набор прокладок DN 65. Для клапанов PM, PMLX</v>
      </c>
      <c r="D38" s="321"/>
      <c r="E38" s="321"/>
      <c r="F38" s="321"/>
      <c r="G38" s="321"/>
      <c r="H38" s="105" t="s">
        <v>540</v>
      </c>
      <c r="I38" s="326"/>
      <c r="J38" s="105" t="str">
        <f>VLOOKUP(B38,ИСХОДНИК!A:P,15,FALSE())</f>
        <v>U6 PL40R</v>
      </c>
      <c r="K38" s="139">
        <f>VLOOKUP(B38,ИСХОДНИК!A:P,13,FALSE())</f>
        <v>58200</v>
      </c>
      <c r="L38" s="139">
        <f>VLOOKUP(B38,ИСХОДНИК!A:P,14,FALSE())</f>
        <v>67512</v>
      </c>
      <c r="M38" s="105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1:16" ht="18.75" customHeight="1">
      <c r="B39" s="97" t="s">
        <v>578</v>
      </c>
      <c r="C39" s="320" t="str">
        <f>VLOOKUP(B39,ИСХОДНИК!A:P,3,FALSE())</f>
        <v>Ревизионный набор прокладок DN 80. Для клапанов PM, PMLX</v>
      </c>
      <c r="D39" s="321"/>
      <c r="E39" s="321"/>
      <c r="F39" s="321"/>
      <c r="G39" s="321"/>
      <c r="H39" s="105" t="s">
        <v>540</v>
      </c>
      <c r="I39" s="326"/>
      <c r="J39" s="105" t="str">
        <f>VLOOKUP(B39,ИСХОДНИК!A:P,15,FALSE())</f>
        <v>U6 PL40R</v>
      </c>
      <c r="K39" s="139">
        <f>VLOOKUP(B39,ИСХОДНИК!A:P,13,FALSE())</f>
        <v>83400</v>
      </c>
      <c r="L39" s="139">
        <f>VLOOKUP(B39,ИСХОДНИК!A:P,14,FALSE())</f>
        <v>96744</v>
      </c>
      <c r="M39" s="105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1:16" ht="18.75" customHeight="1">
      <c r="B40" s="97" t="s">
        <v>579</v>
      </c>
      <c r="C40" s="320" t="str">
        <f>VLOOKUP(B40,ИСХОДНИК!A:P,3,FALSE())</f>
        <v>Ревизионный набор прокладок DN 100. Для клапанов PM, PMLX</v>
      </c>
      <c r="D40" s="321"/>
      <c r="E40" s="321"/>
      <c r="F40" s="321"/>
      <c r="G40" s="321"/>
      <c r="H40" s="105" t="s">
        <v>540</v>
      </c>
      <c r="I40" s="326"/>
      <c r="J40" s="105" t="str">
        <f>VLOOKUP(B40,ИСХОДНИК!A:P,15,FALSE())</f>
        <v>U6 PL40R</v>
      </c>
      <c r="K40" s="139">
        <f>VLOOKUP(B40,ИСХОДНИК!A:P,13,FALSE())</f>
        <v>107400</v>
      </c>
      <c r="L40" s="139">
        <f>VLOOKUP(B40,ИСХОДНИК!A:P,14,FALSE())</f>
        <v>124583.99999999999</v>
      </c>
      <c r="M40" s="105" t="str">
        <f>IF(VLOOKUP(B40,ИСХОДНИК!A:R,18,FALSE())=1,ИСХОДНИК!$T$2,IF(VLOOKUP(B40,ИСХОДНИК!A:R,18,FALSE())=2,ИСХОДНИК!$T$5,IF(VLOOKUP(B40,ИСХОДНИК!A:R,18,FALSE())=3,ИСХОДНИК!$T$6)))</f>
        <v>○</v>
      </c>
    </row>
    <row r="41" spans="1:16" ht="18" customHeight="1">
      <c r="A41" s="15"/>
      <c r="B41" s="281"/>
      <c r="C41" s="327"/>
      <c r="D41" s="327"/>
      <c r="E41" s="327"/>
      <c r="F41" s="327"/>
      <c r="G41" s="327"/>
      <c r="H41" s="327"/>
      <c r="I41" s="328"/>
      <c r="J41" s="329"/>
      <c r="K41" s="330"/>
      <c r="L41" s="330"/>
      <c r="M41" s="329"/>
      <c r="N41" s="15"/>
    </row>
    <row r="42" spans="1:16" ht="18.75" customHeight="1">
      <c r="B42" s="97" t="s">
        <v>555</v>
      </c>
      <c r="C42" s="320" t="str">
        <f>VLOOKUP(B42,ИСХОДНИК!A:P,3,FALSE())</f>
        <v>Сальник DN 20-65. Для клапанов PM, PMLX</v>
      </c>
      <c r="D42" s="321"/>
      <c r="E42" s="321"/>
      <c r="F42" s="321"/>
      <c r="G42" s="321"/>
      <c r="H42" s="105" t="s">
        <v>556</v>
      </c>
      <c r="I42" s="326"/>
      <c r="J42" s="105" t="str">
        <f>VLOOKUP(B42,ИСХОДНИК!A:P,15,FALSE())</f>
        <v>U6 PL40R</v>
      </c>
      <c r="K42" s="139">
        <f>VLOOKUP(B42,ИСХОДНИК!A:P,13,FALSE())</f>
        <v>27000</v>
      </c>
      <c r="L42" s="139">
        <f>VLOOKUP(B42,ИСХОДНИК!A:P,14,FALSE())</f>
        <v>31319.999999999996</v>
      </c>
      <c r="M42" s="331" t="str">
        <f>IF(VLOOKUP(B42,ИСХОДНИК!A:R,18,FALSE())=1,ИСХОДНИК!$T$2,IF(VLOOKUP(B42,ИСХОДНИК!A:R,18,FALSE())=2,ИСХОДНИК!$T$5,IF(VLOOKUP(B42,ИСХОДНИК!A:R,18,FALSE())=3,ИСХОДНИК!$T$6)))</f>
        <v>◑</v>
      </c>
    </row>
    <row r="43" spans="1:16" ht="18.75" customHeight="1">
      <c r="B43" s="97" t="s">
        <v>557</v>
      </c>
      <c r="C43" s="320" t="str">
        <f>VLOOKUP(B43,ИСХОДНИК!A:P,3,FALSE())</f>
        <v>Сальник DN 80-100. Для клапанов PM, PMLX</v>
      </c>
      <c r="D43" s="321"/>
      <c r="E43" s="321"/>
      <c r="F43" s="321"/>
      <c r="G43" s="321"/>
      <c r="H43" s="105" t="s">
        <v>556</v>
      </c>
      <c r="I43" s="326"/>
      <c r="J43" s="105" t="str">
        <f>VLOOKUP(B43,ИСХОДНИК!A:P,15,FALSE())</f>
        <v>U6 PL40R</v>
      </c>
      <c r="K43" s="139">
        <f>VLOOKUP(B43,ИСХОДНИК!A:P,13,FALSE())</f>
        <v>36000</v>
      </c>
      <c r="L43" s="139">
        <f>VLOOKUP(B43,ИСХОДНИК!A:P,14,FALSE())</f>
        <v>41760</v>
      </c>
      <c r="M43" s="331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</sheetData>
  <autoFilter ref="B11:M11" xr:uid="{00000000-0009-0000-0000-00000C000000}"/>
  <mergeCells count="18">
    <mergeCell ref="B30:C30"/>
    <mergeCell ref="D30:E30"/>
    <mergeCell ref="K30:M30"/>
    <mergeCell ref="C31:G31"/>
    <mergeCell ref="B28:M28"/>
    <mergeCell ref="B29:C29"/>
    <mergeCell ref="D29:E29"/>
    <mergeCell ref="F29:J29"/>
    <mergeCell ref="K29:M29"/>
    <mergeCell ref="O2:T2"/>
    <mergeCell ref="B3:G3"/>
    <mergeCell ref="Q3:R9"/>
    <mergeCell ref="B10:H10"/>
    <mergeCell ref="J10:M10"/>
    <mergeCell ref="O10:O11"/>
    <mergeCell ref="P10:P11"/>
    <mergeCell ref="Q10:R10"/>
    <mergeCell ref="S10:T10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6"/>
  <sheetViews>
    <sheetView showGridLines="0" topLeftCell="A29" zoomScaleNormal="100" workbookViewId="0">
      <selection activeCell="R38" sqref="R38"/>
    </sheetView>
  </sheetViews>
  <sheetFormatPr defaultColWidth="9.1796875" defaultRowHeight="12" customHeight="1"/>
  <cols>
    <col min="1" max="1" width="2.1796875" style="107" customWidth="1"/>
    <col min="2" max="2" width="15.54296875" style="108" customWidth="1"/>
    <col min="3" max="3" width="15.81640625" style="107" customWidth="1"/>
    <col min="4" max="4" width="25" style="107" customWidth="1"/>
    <col min="5" max="5" width="9.1796875" style="107"/>
    <col min="6" max="6" width="25.7265625" style="107" customWidth="1"/>
    <col min="7" max="7" width="11.1796875" style="107" customWidth="1"/>
    <col min="8" max="8" width="17.7265625" style="107" customWidth="1"/>
    <col min="9" max="9" width="20.1796875" style="107" customWidth="1"/>
    <col min="10" max="10" width="12.7265625" style="107" customWidth="1"/>
    <col min="11" max="11" width="11.1796875" style="107" customWidth="1"/>
    <col min="12" max="12" width="4" style="107" customWidth="1"/>
    <col min="13" max="16384" width="9.1796875" style="107"/>
  </cols>
  <sheetData>
    <row r="1" spans="1:16" ht="11.25" customHeight="1"/>
    <row r="2" spans="1:16" ht="42" customHeight="1">
      <c r="B2" s="213" t="s">
        <v>580</v>
      </c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6" ht="51.75" customHeight="1">
      <c r="B3" s="491" t="s">
        <v>581</v>
      </c>
      <c r="C3" s="491"/>
      <c r="D3" s="491"/>
      <c r="E3" s="491"/>
      <c r="F3" s="491"/>
      <c r="G3" s="491"/>
      <c r="H3" s="113"/>
      <c r="I3" s="113"/>
      <c r="J3" s="113"/>
      <c r="K3" s="113"/>
      <c r="L3" s="114"/>
    </row>
    <row r="4" spans="1:16" ht="10.5" customHeight="1">
      <c r="B4" s="76" t="s">
        <v>58</v>
      </c>
      <c r="C4" s="115" t="s">
        <v>59</v>
      </c>
      <c r="D4" s="164"/>
      <c r="E4" s="116"/>
      <c r="F4" s="116"/>
      <c r="G4" s="117"/>
      <c r="H4" s="113"/>
      <c r="I4" s="113"/>
      <c r="J4" s="113"/>
      <c r="K4" s="113"/>
      <c r="L4" s="114"/>
    </row>
    <row r="5" spans="1:16" ht="10.5" customHeight="1">
      <c r="B5" s="78" t="s">
        <v>61</v>
      </c>
      <c r="C5" s="115" t="s">
        <v>62</v>
      </c>
      <c r="D5" s="164"/>
      <c r="E5" s="116"/>
      <c r="F5" s="116"/>
      <c r="G5" s="117"/>
      <c r="H5" s="113"/>
      <c r="I5" s="113"/>
      <c r="J5" s="113"/>
      <c r="K5" s="113"/>
      <c r="L5" s="114"/>
    </row>
    <row r="6" spans="1:16" ht="11.25" customHeight="1">
      <c r="B6" s="80" t="s">
        <v>65</v>
      </c>
      <c r="C6" s="115" t="s">
        <v>66</v>
      </c>
      <c r="D6" s="164"/>
      <c r="E6" s="116"/>
      <c r="F6" s="116"/>
      <c r="G6" s="117"/>
      <c r="H6" s="113"/>
      <c r="I6" s="113"/>
      <c r="J6" s="113"/>
      <c r="K6" s="113"/>
      <c r="L6" s="114"/>
    </row>
    <row r="7" spans="1:16" ht="11.25" customHeight="1">
      <c r="B7" s="80"/>
      <c r="C7" s="115"/>
      <c r="D7" s="164"/>
      <c r="E7" s="116"/>
      <c r="F7" s="116"/>
      <c r="G7" s="117"/>
      <c r="H7" s="113"/>
      <c r="I7" s="113"/>
      <c r="J7" s="113"/>
      <c r="K7" s="113"/>
      <c r="L7" s="114"/>
    </row>
    <row r="8" spans="1:16" ht="15" customHeight="1">
      <c r="B8" s="118"/>
      <c r="C8" s="119"/>
      <c r="D8" s="119"/>
      <c r="E8" s="120"/>
      <c r="F8" s="120"/>
      <c r="G8" s="117"/>
      <c r="H8" s="113"/>
      <c r="I8" s="113"/>
      <c r="J8" s="113"/>
      <c r="K8" s="113"/>
      <c r="L8" s="114"/>
    </row>
    <row r="9" spans="1:16" ht="15" customHeight="1">
      <c r="A9" s="121"/>
      <c r="B9" s="122"/>
      <c r="C9" s="74"/>
      <c r="D9" s="74"/>
      <c r="E9" s="123"/>
      <c r="F9" s="123"/>
      <c r="G9" s="117"/>
      <c r="H9" s="113"/>
      <c r="I9" s="113"/>
      <c r="J9" s="113"/>
      <c r="K9" s="113"/>
      <c r="L9" s="114"/>
    </row>
    <row r="10" spans="1:16" ht="14.25" customHeight="1">
      <c r="B10" s="332"/>
      <c r="C10" s="333"/>
      <c r="D10" s="333"/>
      <c r="E10" s="333"/>
      <c r="F10" s="333"/>
      <c r="G10" s="333"/>
      <c r="H10" s="333"/>
      <c r="I10" s="492"/>
      <c r="J10" s="492"/>
      <c r="K10" s="492"/>
      <c r="L10" s="492"/>
    </row>
    <row r="11" spans="1:16" ht="40.5">
      <c r="B11" s="95" t="s">
        <v>72</v>
      </c>
      <c r="C11" s="95" t="s">
        <v>90</v>
      </c>
      <c r="D11" s="95" t="s">
        <v>91</v>
      </c>
      <c r="E11" s="95" t="s">
        <v>81</v>
      </c>
      <c r="F11" s="95" t="s">
        <v>84</v>
      </c>
      <c r="G11" s="95" t="s">
        <v>82</v>
      </c>
      <c r="H11" s="95" t="s">
        <v>83</v>
      </c>
      <c r="I11" s="95" t="s">
        <v>67</v>
      </c>
      <c r="J11" s="94" t="s">
        <v>74</v>
      </c>
      <c r="K11" s="94" t="s">
        <v>75</v>
      </c>
      <c r="L11" s="242" t="s">
        <v>55</v>
      </c>
      <c r="P11" s="334"/>
    </row>
    <row r="12" spans="1:16" ht="27" customHeight="1">
      <c r="B12" s="153" t="s">
        <v>582</v>
      </c>
      <c r="C12" s="196" t="str">
        <f>VLOOKUP(B12,ИСХОДНИК!A:P,5,FALSE())</f>
        <v>ICLX-R 32 D</v>
      </c>
      <c r="D12" s="134" t="str">
        <f>VLOOKUP(B12,ИСХОДНИК!A:P,11,FALSE())</f>
        <v>Под сварку встык DIN</v>
      </c>
      <c r="E12" s="182">
        <f>VLOOKUP(B12,ИСХОДНИК!A:P,7,FALSE())</f>
        <v>32</v>
      </c>
      <c r="F12" s="137" t="str">
        <f>VLOOKUP(B12,ИСХОДНИК!A:P,10,FALSE())</f>
        <v>R717, R744 и фреоны</v>
      </c>
      <c r="G12" s="137">
        <f>VLOOKUP(B12,ИСХОДНИК!A:P,8,FALSE())</f>
        <v>52</v>
      </c>
      <c r="H12" s="181" t="str">
        <f>VLOOKUP(B12,ИСХОДНИК!A:P,9,FALSE())</f>
        <v xml:space="preserve"> -50…120</v>
      </c>
      <c r="I12" s="182" t="str">
        <f>VLOOKUP(B12,ИСХОДНИК!A:P,15,FALSE())</f>
        <v>PR PL40R-Project</v>
      </c>
      <c r="J12" s="139">
        <f>VLOOKUP(B12,ИСХОДНИК!A:P,13,FALSE())</f>
        <v>1200000</v>
      </c>
      <c r="K12" s="139">
        <f>VLOOKUP(B12,ИСХОДНИК!A:P,14,FALSE())</f>
        <v>1392000</v>
      </c>
      <c r="L12" s="199" t="str">
        <f>IF(VLOOKUP(B12,ИСХОДНИК!A:R,18,FALSE())=1,ИСХОДНИК!$T$2,IF(VLOOKUP(B12,ИСХОДНИК!A:R,18,FALSE())=2,ИСХОДНИК!$T$5,IF(VLOOKUP(B12,ИСХОДНИК!A:R,18,FALSE())=3,ИСХОДНИК!$T$6)))</f>
        <v>○</v>
      </c>
    </row>
    <row r="13" spans="1:16" ht="27" customHeight="1">
      <c r="B13" s="97" t="s">
        <v>583</v>
      </c>
      <c r="C13" s="196" t="str">
        <f>VLOOKUP(B13,ИСХОДНИК!A:P,5,FALSE())</f>
        <v>ICLX-R 40 D</v>
      </c>
      <c r="D13" s="134" t="str">
        <f>VLOOKUP(B13,ИСХОДНИК!A:P,11,FALSE())</f>
        <v>Под сварку встык DIN</v>
      </c>
      <c r="E13" s="182">
        <f>VLOOKUP(B13,ИСХОДНИК!A:P,7,FALSE())</f>
        <v>40</v>
      </c>
      <c r="F13" s="137" t="str">
        <f>VLOOKUP(B13,ИСХОДНИК!A:P,10,FALSE())</f>
        <v>R717, R744 и фреоны</v>
      </c>
      <c r="G13" s="137">
        <f>VLOOKUP(B13,ИСХОДНИК!A:P,8,FALSE())</f>
        <v>52</v>
      </c>
      <c r="H13" s="181" t="str">
        <f>VLOOKUP(B13,ИСХОДНИК!A:P,9,FALSE())</f>
        <v xml:space="preserve"> -50…120</v>
      </c>
      <c r="I13" s="182" t="str">
        <f>VLOOKUP(B13,ИСХОДНИК!A:P,15,FALSE())</f>
        <v>PR PL40R-Project</v>
      </c>
      <c r="J13" s="139">
        <f>VLOOKUP(B13,ИСХОДНИК!A:P,13,FALSE())</f>
        <v>1230000</v>
      </c>
      <c r="K13" s="139">
        <f>VLOOKUP(B13,ИСХОДНИК!A:P,14,FALSE())</f>
        <v>1426800</v>
      </c>
      <c r="L13" s="199" t="str">
        <f>IF(VLOOKUP(B13,ИСХОДНИК!A:R,18,FALSE())=1,ИСХОДНИК!$T$2,IF(VLOOKUP(B13,ИСХОДНИК!A:R,18,FALSE())=2,ИСХОДНИК!$T$5,IF(VLOOKUP(B13,ИСХОДНИК!A:R,18,FALSE())=3,ИСХОДНИК!$T$6)))</f>
        <v>○</v>
      </c>
    </row>
    <row r="14" spans="1:16" ht="27" customHeight="1">
      <c r="B14" s="97" t="s">
        <v>584</v>
      </c>
      <c r="C14" s="196" t="str">
        <f>VLOOKUP(B14,ИСХОДНИК!A:P,5,FALSE())</f>
        <v>ICLX-R 50 D</v>
      </c>
      <c r="D14" s="134" t="str">
        <f>VLOOKUP(B14,ИСХОДНИК!A:P,11,FALSE())</f>
        <v>Под сварку встык DIN</v>
      </c>
      <c r="E14" s="182">
        <f>VLOOKUP(B14,ИСХОДНИК!A:P,7,FALSE())</f>
        <v>50</v>
      </c>
      <c r="F14" s="137" t="str">
        <f>VLOOKUP(B14,ИСХОДНИК!A:P,10,FALSE())</f>
        <v>R717, R744 и фреоны</v>
      </c>
      <c r="G14" s="137">
        <f>VLOOKUP(B14,ИСХОДНИК!A:P,8,FALSE())</f>
        <v>52</v>
      </c>
      <c r="H14" s="181" t="str">
        <f>VLOOKUP(B14,ИСХОДНИК!A:P,9,FALSE())</f>
        <v xml:space="preserve"> -50…120</v>
      </c>
      <c r="I14" s="182" t="str">
        <f>VLOOKUP(B14,ИСХОДНИК!A:P,15,FALSE())</f>
        <v>PR PL40R-Project</v>
      </c>
      <c r="J14" s="139">
        <f>VLOOKUP(B14,ИСХОДНИК!A:P,13,FALSE())</f>
        <v>1320000</v>
      </c>
      <c r="K14" s="139">
        <f>VLOOKUP(B14,ИСХОДНИК!A:P,14,FALSE())</f>
        <v>1531200</v>
      </c>
      <c r="L14" s="199" t="str">
        <f>IF(VLOOKUP(B14,ИСХОДНИК!A:R,18,FALSE())=1,ИСХОДНИК!$T$2,IF(VLOOKUP(B14,ИСХОДНИК!A:R,18,FALSE())=2,ИСХОДНИК!$T$5,IF(VLOOKUP(B14,ИСХОДНИК!A:R,18,FALSE())=3,ИСХОДНИК!$T$6)))</f>
        <v>○</v>
      </c>
    </row>
    <row r="15" spans="1:16" ht="27" customHeight="1">
      <c r="B15" s="97" t="s">
        <v>585</v>
      </c>
      <c r="C15" s="196" t="str">
        <f>VLOOKUP(B15,ИСХОДНИК!A:P,5,FALSE())</f>
        <v>ICLX-R 65 D</v>
      </c>
      <c r="D15" s="134" t="str">
        <f>VLOOKUP(B15,ИСХОДНИК!A:P,11,FALSE())</f>
        <v>Под сварку встык DIN</v>
      </c>
      <c r="E15" s="182">
        <f>VLOOKUP(B15,ИСХОДНИК!A:P,7,FALSE())</f>
        <v>65</v>
      </c>
      <c r="F15" s="137" t="str">
        <f>VLOOKUP(B15,ИСХОДНИК!A:P,10,FALSE())</f>
        <v>R717, R744 и фреоны</v>
      </c>
      <c r="G15" s="137">
        <f>VLOOKUP(B15,ИСХОДНИК!A:P,8,FALSE())</f>
        <v>52</v>
      </c>
      <c r="H15" s="181" t="str">
        <f>VLOOKUP(B15,ИСХОДНИК!A:P,9,FALSE())</f>
        <v xml:space="preserve"> -50…120</v>
      </c>
      <c r="I15" s="182" t="str">
        <f>VLOOKUP(B15,ИСХОДНИК!A:P,15,FALSE())</f>
        <v>PR PL40R-Project</v>
      </c>
      <c r="J15" s="139">
        <f>VLOOKUP(B15,ИСХОДНИК!A:P,13,FALSE())</f>
        <v>1650000</v>
      </c>
      <c r="K15" s="139">
        <f>VLOOKUP(B15,ИСХОДНИК!A:P,14,FALSE())</f>
        <v>1913999.9999999998</v>
      </c>
      <c r="L15" s="199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  <row r="16" spans="1:16" ht="27" customHeight="1">
      <c r="B16" s="97" t="s">
        <v>586</v>
      </c>
      <c r="C16" s="196" t="str">
        <f>VLOOKUP(B16,ИСХОДНИК!A:P,5,FALSE())</f>
        <v>ICLX-R 80 D</v>
      </c>
      <c r="D16" s="134" t="str">
        <f>VLOOKUP(B16,ИСХОДНИК!A:P,11,FALSE())</f>
        <v>Под сварку встык DIN</v>
      </c>
      <c r="E16" s="182">
        <f>VLOOKUP(B16,ИСХОДНИК!A:P,7,FALSE())</f>
        <v>80</v>
      </c>
      <c r="F16" s="137" t="str">
        <f>VLOOKUP(B16,ИСХОДНИК!A:P,10,FALSE())</f>
        <v>R717, R744 и фреоны</v>
      </c>
      <c r="G16" s="137">
        <f>VLOOKUP(B16,ИСХОДНИК!A:P,8,FALSE())</f>
        <v>52</v>
      </c>
      <c r="H16" s="181" t="str">
        <f>VLOOKUP(B16,ИСХОДНИК!A:P,9,FALSE())</f>
        <v xml:space="preserve"> -50…120</v>
      </c>
      <c r="I16" s="182" t="str">
        <f>VLOOKUP(B16,ИСХОДНИК!A:P,15,FALSE())</f>
        <v>PR PL40R-Project</v>
      </c>
      <c r="J16" s="139">
        <f>VLOOKUP(B16,ИСХОДНИК!A:P,13,FALSE())</f>
        <v>2100000</v>
      </c>
      <c r="K16" s="139">
        <f>VLOOKUP(B16,ИСХОДНИК!A:P,14,FALSE())</f>
        <v>2436000</v>
      </c>
      <c r="L16" s="199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13" ht="27" customHeight="1">
      <c r="B17" s="97" t="s">
        <v>587</v>
      </c>
      <c r="C17" s="98" t="str">
        <f>VLOOKUP(B17,ИСХОДНИК!A:P,5,FALSE())</f>
        <v>ICLX-R 100 D</v>
      </c>
      <c r="D17" s="134" t="str">
        <f>VLOOKUP(B17,ИСХОДНИК!A:P,11,FALSE())</f>
        <v>Под сварку встык DIN</v>
      </c>
      <c r="E17" s="105">
        <f>VLOOKUP(B17,ИСХОДНИК!A:P,7,FALSE())</f>
        <v>100</v>
      </c>
      <c r="F17" s="137" t="str">
        <f>VLOOKUP(B17,ИСХОДНИК!A:P,10,FALSE())</f>
        <v>R717, R744 и фреоны</v>
      </c>
      <c r="G17" s="137">
        <f>VLOOKUP(B17,ИСХОДНИК!A:P,8,FALSE())</f>
        <v>52</v>
      </c>
      <c r="H17" s="137" t="str">
        <f>VLOOKUP(B17,ИСХОДНИК!A:P,9,FALSE())</f>
        <v xml:space="preserve"> -50…120</v>
      </c>
      <c r="I17" s="105" t="str">
        <f>VLOOKUP(B17,ИСХОДНИК!A:P,15,FALSE())</f>
        <v>PR PL40R-Project</v>
      </c>
      <c r="J17" s="139">
        <f>VLOOKUP(B17,ИСХОДНИК!A:P,13,FALSE())</f>
        <v>2940000</v>
      </c>
      <c r="K17" s="139">
        <f>VLOOKUP(B17,ИСХОДНИК!A:P,14,FALSE())</f>
        <v>3410399.9999999995</v>
      </c>
      <c r="L17" s="104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3" ht="27" customHeight="1">
      <c r="B18" s="97" t="s">
        <v>588</v>
      </c>
      <c r="C18" s="98" t="str">
        <f>VLOOKUP(B18,ИСХОДНИК!A:P,5,FALSE())</f>
        <v>ICLX-R 125 D</v>
      </c>
      <c r="D18" s="134" t="str">
        <f>VLOOKUP(B18,ИСХОДНИК!A:P,11,FALSE())</f>
        <v>Под сварку встык DIN</v>
      </c>
      <c r="E18" s="182">
        <f>VLOOKUP(B18,ИСХОДНИК!A:P,7,FALSE())</f>
        <v>125</v>
      </c>
      <c r="F18" s="137" t="str">
        <f>VLOOKUP(B18,ИСХОДНИК!A:P,10,FALSE())</f>
        <v>R717, R744 и фреоны</v>
      </c>
      <c r="G18" s="137">
        <f>VLOOKUP(B18,ИСХОДНИК!A:P,8,FALSE())</f>
        <v>52</v>
      </c>
      <c r="H18" s="181" t="str">
        <f>VLOOKUP(B18,ИСХОДНИК!A:P,9,FALSE())</f>
        <v xml:space="preserve"> -50…120</v>
      </c>
      <c r="I18" s="182" t="str">
        <f>VLOOKUP(B18,ИСХОДНИК!A:P,15,FALSE())</f>
        <v>PR PL40R-Project</v>
      </c>
      <c r="J18" s="139">
        <f>VLOOKUP(B18,ИСХОДНИК!A:P,13,FALSE())</f>
        <v>4020000</v>
      </c>
      <c r="K18" s="139">
        <f>VLOOKUP(B18,ИСХОДНИК!A:P,14,FALSE())</f>
        <v>4663200</v>
      </c>
      <c r="L18" s="199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13" ht="27" customHeight="1">
      <c r="B19" s="97" t="s">
        <v>589</v>
      </c>
      <c r="C19" s="98" t="str">
        <f>VLOOKUP(B19,ИСХОДНИК!A:P,5,FALSE())</f>
        <v>ICLX-R 150 D</v>
      </c>
      <c r="D19" s="134" t="str">
        <f>VLOOKUP(B19,ИСХОДНИК!A:P,11,FALSE())</f>
        <v>Под сварку встык DIN</v>
      </c>
      <c r="E19" s="105">
        <f>VLOOKUP(B19,ИСХОДНИК!A:P,7,FALSE())</f>
        <v>150</v>
      </c>
      <c r="F19" s="137" t="str">
        <f>VLOOKUP(B19,ИСХОДНИК!A:P,10,FALSE())</f>
        <v>R717, R744 и фреоны</v>
      </c>
      <c r="G19" s="137">
        <f>VLOOKUP(B19,ИСХОДНИК!A:P,8,FALSE())</f>
        <v>52</v>
      </c>
      <c r="H19" s="137" t="str">
        <f>VLOOKUP(B19,ИСХОДНИК!A:P,9,FALSE())</f>
        <v xml:space="preserve"> -50…120</v>
      </c>
      <c r="I19" s="105" t="str">
        <f>VLOOKUP(B19,ИСХОДНИК!A:P,15,FALSE())</f>
        <v>PR PL40R-Project</v>
      </c>
      <c r="J19" s="139">
        <f>VLOOKUP(B19,ИСХОДНИК!A:P,13,FALSE())</f>
        <v>5940000</v>
      </c>
      <c r="K19" s="139">
        <f>VLOOKUP(B19,ИСХОДНИК!A:P,14,FALSE())</f>
        <v>6890399.9999999991</v>
      </c>
      <c r="L19" s="104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13" ht="20.25" customHeight="1">
      <c r="B20" s="335" t="s">
        <v>590</v>
      </c>
    </row>
    <row r="21" spans="2:13" ht="13.5">
      <c r="B21" s="554" t="s">
        <v>591</v>
      </c>
      <c r="C21" s="554"/>
      <c r="D21" s="554"/>
      <c r="E21" s="554"/>
      <c r="F21" s="554"/>
      <c r="G21" s="336" t="s">
        <v>592</v>
      </c>
    </row>
    <row r="22" spans="2:13" ht="13.5">
      <c r="B22" s="554" t="s">
        <v>593</v>
      </c>
      <c r="C22" s="554"/>
      <c r="D22" s="554"/>
      <c r="E22" s="554"/>
      <c r="F22" s="554"/>
      <c r="G22" s="336" t="s">
        <v>594</v>
      </c>
    </row>
    <row r="23" spans="2:13" ht="13.5">
      <c r="B23" s="554" t="s">
        <v>595</v>
      </c>
      <c r="C23" s="554"/>
      <c r="D23" s="554"/>
      <c r="E23" s="554"/>
      <c r="F23" s="554"/>
      <c r="G23" s="336" t="s">
        <v>594</v>
      </c>
    </row>
    <row r="24" spans="2:13" ht="13.5">
      <c r="B24" s="554" t="s">
        <v>596</v>
      </c>
      <c r="C24" s="554"/>
      <c r="D24" s="554"/>
      <c r="E24" s="554"/>
      <c r="F24" s="554"/>
      <c r="G24" s="336" t="s">
        <v>597</v>
      </c>
    </row>
    <row r="25" spans="2:13" ht="13.5">
      <c r="B25" s="554" t="s">
        <v>598</v>
      </c>
      <c r="C25" s="554"/>
      <c r="D25" s="554"/>
      <c r="E25" s="554"/>
      <c r="F25" s="554"/>
      <c r="G25" s="336" t="s">
        <v>594</v>
      </c>
    </row>
    <row r="27" spans="2:13" ht="13.5">
      <c r="B27" s="337" t="s">
        <v>599</v>
      </c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</row>
    <row r="28" spans="2:13" ht="40.5">
      <c r="B28" s="95" t="s">
        <v>72</v>
      </c>
      <c r="C28" s="95" t="s">
        <v>90</v>
      </c>
      <c r="D28" s="494"/>
      <c r="E28" s="494"/>
      <c r="F28" s="95" t="s">
        <v>84</v>
      </c>
      <c r="G28" s="95" t="s">
        <v>82</v>
      </c>
      <c r="H28" s="95" t="s">
        <v>83</v>
      </c>
      <c r="I28" s="208" t="s">
        <v>67</v>
      </c>
      <c r="J28" s="94" t="s">
        <v>74</v>
      </c>
      <c r="K28" s="94" t="s">
        <v>75</v>
      </c>
      <c r="L28" s="242" t="s">
        <v>55</v>
      </c>
    </row>
    <row r="29" spans="2:13" ht="24.75" customHeight="1">
      <c r="B29" s="97" t="s">
        <v>600</v>
      </c>
      <c r="C29" s="98" t="str">
        <f>VLOOKUP(B29,ИСХОДНИК!A:P,5,FALSE())</f>
        <v>EVM-NC</v>
      </c>
      <c r="D29" s="555" t="str">
        <f>VLOOKUP(B29,ИСХОДНИК!A:P,6,FALSE())</f>
        <v xml:space="preserve">нормально закрытый </v>
      </c>
      <c r="E29" s="555"/>
      <c r="F29" s="137" t="str">
        <f>VLOOKUP(B29,ИСХОДНИК!A:P,10,FALSE())</f>
        <v>R717, R744 и фреоны</v>
      </c>
      <c r="G29" s="138">
        <f>VLOOKUP(B29,ИСХОДНИК!A:P,8,FALSE())</f>
        <v>52</v>
      </c>
      <c r="H29" s="137" t="str">
        <f>VLOOKUP(B29,ИСХОДНИК!A:P,9,FALSE())</f>
        <v xml:space="preserve"> -50…120</v>
      </c>
      <c r="I29" s="105" t="str">
        <f>VLOOKUP(B29,ИСХОДНИК!A:P,15,FALSE())</f>
        <v>U6 PL40R</v>
      </c>
      <c r="J29" s="139">
        <f>VLOOKUP(B29,ИСХОДНИК!A:P,13,FALSE())</f>
        <v>57000</v>
      </c>
      <c r="K29" s="139">
        <f>VLOOKUP(B29,ИСХОДНИК!A:P,14,FALSE())</f>
        <v>66120</v>
      </c>
      <c r="L29" s="104" t="str">
        <f>IF(VLOOKUP(B29,ИСХОДНИК!A:R,18,FALSE())=1,ИСХОДНИК!$T$2,IF(VLOOKUP(B29,ИСХОДНИК!A:R,18,FALSE())=2,ИСХОДНИК!$T$5,IF(VLOOKUP(B29,ИСХОДНИК!A:R,18,FALSE())=3,ИСХОДНИК!$T$6)))</f>
        <v>◑</v>
      </c>
    </row>
    <row r="30" spans="2:13" ht="24.75" customHeight="1">
      <c r="B30" s="299" t="s">
        <v>601</v>
      </c>
      <c r="C30" s="98" t="str">
        <f>VLOOKUP(B30,ИСХОДНИК!A:P,5,FALSE())</f>
        <v>EVM-NO</v>
      </c>
      <c r="D30" s="555" t="str">
        <f>VLOOKUP(B30,ИСХОДНИК!A:P,6,FALSE())</f>
        <v>нормально открытый</v>
      </c>
      <c r="E30" s="555"/>
      <c r="F30" s="137" t="str">
        <f>VLOOKUP(B30,ИСХОДНИК!A:P,10,FALSE())</f>
        <v>R717, R744 и фреоны</v>
      </c>
      <c r="G30" s="138">
        <f>VLOOKUP(B30,ИСХОДНИК!A:P,8,FALSE())</f>
        <v>52</v>
      </c>
      <c r="H30" s="137" t="str">
        <f>VLOOKUP(B30,ИСХОДНИК!A:P,9,FALSE())</f>
        <v xml:space="preserve"> -50…120</v>
      </c>
      <c r="I30" s="105" t="str">
        <f>VLOOKUP(B30,ИСХОДНИК!A:P,15,FALSE())</f>
        <v>U6 PL40R</v>
      </c>
      <c r="J30" s="139">
        <f>VLOOKUP(B30,ИСХОДНИК!A:P,13,FALSE())</f>
        <v>168000</v>
      </c>
      <c r="K30" s="139">
        <f>VLOOKUP(B30,ИСХОДНИК!A:P,14,FALSE())</f>
        <v>194880</v>
      </c>
      <c r="L30" s="338" t="str">
        <f>IF(VLOOKUP(B30,ИСХОДНИК!A:R,18,FALSE())=1,ИСХОДНИК!$T$2,IF(VLOOKUP(B30,ИСХОДНИК!A:R,18,FALSE())=2,ИСХОДНИК!$T$5,IF(VLOOKUP(B30,ИСХОДНИК!A:R,18,FALSE())=3,ИСХОДНИК!$T$6)))</f>
        <v>◑</v>
      </c>
    </row>
    <row r="32" spans="2:13" ht="13.5">
      <c r="B32" s="339" t="s">
        <v>129</v>
      </c>
      <c r="C32" s="28"/>
      <c r="D32" s="28"/>
      <c r="E32" s="28"/>
      <c r="F32" s="28"/>
      <c r="G32" s="28"/>
      <c r="H32" s="28"/>
      <c r="I32" s="28"/>
      <c r="J32" s="28"/>
      <c r="K32" s="28"/>
      <c r="L32" s="121"/>
    </row>
    <row r="33" spans="2:12" ht="40.5">
      <c r="B33" s="95" t="s">
        <v>72</v>
      </c>
      <c r="C33" s="95" t="s">
        <v>90</v>
      </c>
      <c r="D33" s="95" t="s">
        <v>130</v>
      </c>
      <c r="E33" s="95" t="s">
        <v>131</v>
      </c>
      <c r="F33" s="95" t="s">
        <v>132</v>
      </c>
      <c r="G33" s="95" t="s">
        <v>133</v>
      </c>
      <c r="H33" s="95" t="s">
        <v>134</v>
      </c>
      <c r="I33" s="95" t="s">
        <v>67</v>
      </c>
      <c r="J33" s="94" t="s">
        <v>74</v>
      </c>
      <c r="K33" s="94" t="s">
        <v>75</v>
      </c>
      <c r="L33" s="242" t="s">
        <v>55</v>
      </c>
    </row>
    <row r="34" spans="2:12" ht="24.5">
      <c r="B34" s="153" t="s">
        <v>137</v>
      </c>
      <c r="C34" s="98" t="str">
        <f>VLOOKUP(B34,ИСХОДНИК!A:P,5,FALSE())</f>
        <v>BE230AS</v>
      </c>
      <c r="D34" s="105">
        <v>220</v>
      </c>
      <c r="E34" s="105">
        <v>50</v>
      </c>
      <c r="F34" s="105" t="s">
        <v>138</v>
      </c>
      <c r="G34" s="105">
        <v>10</v>
      </c>
      <c r="H34" s="105" t="s">
        <v>139</v>
      </c>
      <c r="I34" s="105" t="str">
        <f>VLOOKUP(B34,ИСХОДНИК!A:P,15,FALSE())</f>
        <v>U6 PL40R</v>
      </c>
      <c r="J34" s="139">
        <f>VLOOKUP(B34,ИСХОДНИК!A:P,13,FALSE())</f>
        <v>21000</v>
      </c>
      <c r="K34" s="139">
        <f>VLOOKUP(B34,ИСХОДНИК!A:P,14,FALSE())</f>
        <v>24360</v>
      </c>
      <c r="L34" s="140" t="str">
        <f>IF(VLOOKUP(B34,ИСХОДНИК!A:R,18,FALSE())=1,ИСХОДНИК!$T$2,IF(VLOOKUP(B34,ИСХОДНИК!A:R,18,FALSE())=2,ИСХОДНИК!$T$5,IF(VLOOKUP(B30,ИСХОДНИК!A:R,18,FALSE())=3,ИСХОДНИК!$T$6)))</f>
        <v>●</v>
      </c>
    </row>
    <row r="35" spans="2:12" ht="19.5">
      <c r="B35" s="153" t="s">
        <v>141</v>
      </c>
      <c r="C35" s="98" t="str">
        <f>VLOOKUP(B35,ИСХОДНИК!A:P,5,FALSE())</f>
        <v>BN230AS</v>
      </c>
      <c r="D35" s="105">
        <v>220</v>
      </c>
      <c r="E35" s="105">
        <v>50</v>
      </c>
      <c r="F35" s="105" t="s">
        <v>138</v>
      </c>
      <c r="G35" s="105">
        <v>18</v>
      </c>
      <c r="H35" s="105" t="s">
        <v>142</v>
      </c>
      <c r="I35" s="105" t="str">
        <f>VLOOKUP(B35,ИСХОДНИК!A:P,15,FALSE())</f>
        <v>U6 PL40R</v>
      </c>
      <c r="J35" s="139">
        <f>VLOOKUP(B35,ИСХОДНИК!A:P,13,FALSE())</f>
        <v>35400</v>
      </c>
      <c r="K35" s="139">
        <f>VLOOKUP(B35,ИСХОДНИК!A:P,14,FALSE())</f>
        <v>41064</v>
      </c>
      <c r="L35" s="340" t="str">
        <f>IF(VLOOKUP(B35,ИСХОДНИК!A:R,18,FALSE())=1,ИСХОДНИК!$T$2,IF(VLOOKUP(B35,ИСХОДНИК!A:R,18,FALSE())=2,ИСХОДНИК!$T$5,IF(VLOOKUP(B31,ИСХОДНИК!A:R,18,FALSE())=3,ИСХОДНИК!$T$6)))</f>
        <v>◑</v>
      </c>
    </row>
    <row r="37" spans="2:12" ht="32.25" customHeight="1">
      <c r="B37" s="547" t="s">
        <v>531</v>
      </c>
      <c r="C37" s="547"/>
      <c r="D37" s="547"/>
      <c r="E37" s="547"/>
      <c r="F37" s="547" t="s">
        <v>602</v>
      </c>
      <c r="G37" s="547"/>
      <c r="H37" s="547"/>
      <c r="I37" s="547" t="s">
        <v>533</v>
      </c>
      <c r="J37" s="547"/>
      <c r="K37" s="547"/>
      <c r="L37" s="547"/>
    </row>
    <row r="38" spans="2:12" ht="194.25" customHeight="1">
      <c r="B38" s="234"/>
      <c r="C38" s="207"/>
      <c r="D38" s="207"/>
      <c r="E38" s="206"/>
      <c r="F38" s="205"/>
      <c r="G38" s="207"/>
      <c r="H38" s="206"/>
      <c r="I38" s="207"/>
      <c r="J38" s="207"/>
      <c r="K38" s="207"/>
      <c r="L38" s="206"/>
    </row>
    <row r="39" spans="2:12" ht="35" customHeight="1">
      <c r="B39" s="94" t="s">
        <v>72</v>
      </c>
      <c r="C39" s="517" t="s">
        <v>2</v>
      </c>
      <c r="D39" s="517"/>
      <c r="E39" s="517"/>
      <c r="F39" s="517"/>
      <c r="G39" s="517"/>
      <c r="H39" s="208" t="s">
        <v>201</v>
      </c>
      <c r="I39" s="94" t="s">
        <v>67</v>
      </c>
      <c r="J39" s="94" t="s">
        <v>74</v>
      </c>
      <c r="K39" s="94" t="s">
        <v>75</v>
      </c>
      <c r="L39" s="301" t="s">
        <v>55</v>
      </c>
    </row>
    <row r="40" spans="2:12" ht="19.5" customHeight="1">
      <c r="B40" s="153" t="s">
        <v>603</v>
      </c>
      <c r="C40" s="525" t="str">
        <f>VLOOKUP(B40,ИСХОДНИК!A:P,2,FALSE())</f>
        <v>Ревизионный комплект прокладочных уплотнений для клапанов ICLX-R 32-40</v>
      </c>
      <c r="D40" s="525"/>
      <c r="E40" s="525"/>
      <c r="F40" s="525"/>
      <c r="G40" s="525"/>
      <c r="H40" s="105" t="s">
        <v>604</v>
      </c>
      <c r="I40" s="105" t="str">
        <f>VLOOKUP(B40,ИСХОДНИК!A:P,15,FALSE())</f>
        <v>U6 PL40R</v>
      </c>
      <c r="J40" s="139">
        <f>VLOOKUP(B40,ИСХОДНИК!A:P,13,FALSE())</f>
        <v>45000</v>
      </c>
      <c r="K40" s="139">
        <f>VLOOKUP(B40,ИСХОДНИК!A:P,14,FALSE())</f>
        <v>52200</v>
      </c>
      <c r="L40" s="140" t="str">
        <f>IF(VLOOKUP(B40,ИСХОДНИК!A:R,18,FALSE())=1,ИСХОДНИК!$T$2,IF(VLOOKUP(B40,ИСХОДНИК!A:R,18,FALSE())=2,ИСХОДНИК!$T$5,IF(VLOOKUP(B40,ИСХОДНИК!A:R,18,FALSE())=3,ИСХОДНИК!$T$6)))</f>
        <v>○</v>
      </c>
    </row>
    <row r="41" spans="2:12" ht="19.5" customHeight="1">
      <c r="B41" s="153" t="s">
        <v>605</v>
      </c>
      <c r="C41" s="525" t="str">
        <f>VLOOKUP(B41,ИСХОДНИК!A:P,2,FALSE())</f>
        <v>Ревизионный комплект прокладочных уплотнений для клапанов ICLX-R 50</v>
      </c>
      <c r="D41" s="525"/>
      <c r="E41" s="525"/>
      <c r="F41" s="525"/>
      <c r="G41" s="525"/>
      <c r="H41" s="105" t="s">
        <v>604</v>
      </c>
      <c r="I41" s="105" t="str">
        <f>VLOOKUP(B41,ИСХОДНИК!A:P,15,FALSE())</f>
        <v>U6 PL40R</v>
      </c>
      <c r="J41" s="139">
        <f>VLOOKUP(B41,ИСХОДНИК!A:P,13,FALSE())</f>
        <v>53400</v>
      </c>
      <c r="K41" s="139">
        <f>VLOOKUP(B41,ИСХОДНИК!A:P,14,FALSE())</f>
        <v>61943.999999999993</v>
      </c>
      <c r="L41" s="140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2" ht="19.5" customHeight="1">
      <c r="B42" s="153" t="s">
        <v>606</v>
      </c>
      <c r="C42" s="525" t="str">
        <f>VLOOKUP(B42,ИСХОДНИК!A:P,2,FALSE())</f>
        <v>Ревизионный комплект прокладочных уплотнений для клапанов ICLX-R 65-80</v>
      </c>
      <c r="D42" s="525"/>
      <c r="E42" s="525"/>
      <c r="F42" s="525"/>
      <c r="G42" s="525"/>
      <c r="H42" s="105" t="s">
        <v>604</v>
      </c>
      <c r="I42" s="105" t="str">
        <f>VLOOKUP(B42,ИСХОДНИК!A:P,15,FALSE())</f>
        <v>U6 PL40R</v>
      </c>
      <c r="J42" s="139">
        <f>VLOOKUP(B42,ИСХОДНИК!A:P,13,FALSE())</f>
        <v>65400</v>
      </c>
      <c r="K42" s="139">
        <f>VLOOKUP(B42,ИСХОДНИК!A:P,14,FALSE())</f>
        <v>75864</v>
      </c>
      <c r="L42" s="340" t="str">
        <f>IF(VLOOKUP(B42,ИСХОДНИК!A:R,18,FALSE())=1,ИСХОДНИК!$T$2,IF(VLOOKUP(B42,ИСХОДНИК!A:R,18,FALSE())=2,ИСХОДНИК!$T$5,IF(VLOOKUP(B42,ИСХОДНИК!A:R,18,FALSE())=3,ИСХОДНИК!$T$6)))</f>
        <v>◑</v>
      </c>
    </row>
    <row r="43" spans="2:12" ht="19.5" customHeight="1">
      <c r="B43" s="153" t="s">
        <v>607</v>
      </c>
      <c r="C43" s="525" t="str">
        <f>VLOOKUP(B43,ИСХОДНИК!A:P,2,FALSE())</f>
        <v>Ревизионный комплект прокладочных уплотнений для клапанов ICLX-R 100</v>
      </c>
      <c r="D43" s="525"/>
      <c r="E43" s="525"/>
      <c r="F43" s="525"/>
      <c r="G43" s="525"/>
      <c r="H43" s="105" t="s">
        <v>604</v>
      </c>
      <c r="I43" s="105" t="str">
        <f>VLOOKUP(B43,ИСХОДНИК!A:P,15,FALSE())</f>
        <v>U6 PL40R</v>
      </c>
      <c r="J43" s="139">
        <f>VLOOKUP(B43,ИСХОДНИК!A:P,13,FALSE())</f>
        <v>113400</v>
      </c>
      <c r="K43" s="139">
        <f>VLOOKUP(B43,ИСХОДНИК!A:P,14,FALSE())</f>
        <v>131544</v>
      </c>
      <c r="L43" s="340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  <row r="44" spans="2:12" ht="19.5" customHeight="1">
      <c r="B44" s="153" t="s">
        <v>608</v>
      </c>
      <c r="C44" s="495" t="str">
        <f>VLOOKUP(B44,ИСХОДНИК!A:P,2,FALSE())</f>
        <v>Ревизионный комплект прокладочных уплотнений для клапанов ICLX-R 125</v>
      </c>
      <c r="D44" s="495"/>
      <c r="E44" s="495"/>
      <c r="F44" s="495"/>
      <c r="G44" s="495"/>
      <c r="H44" s="105" t="s">
        <v>604</v>
      </c>
      <c r="I44" s="105" t="str">
        <f>VLOOKUP(B44,ИСХОДНИК!A:P,15,FALSE())</f>
        <v>U6 PL40R</v>
      </c>
      <c r="J44" s="139">
        <f>VLOOKUP(B44,ИСХОДНИК!A:P,13,FALSE())</f>
        <v>126000</v>
      </c>
      <c r="K44" s="139">
        <f>VLOOKUP(B44,ИСХОДНИК!A:P,14,FALSE())</f>
        <v>146160</v>
      </c>
      <c r="L44" s="340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2" ht="19.5" customHeight="1">
      <c r="B45" s="153" t="s">
        <v>609</v>
      </c>
      <c r="C45" s="495" t="str">
        <f>VLOOKUP(B45,ИСХОДНИК!A:P,2,FALSE())</f>
        <v>Ревизионный комплект прокладочных уплотнений для клапанов ICLX-R 150</v>
      </c>
      <c r="D45" s="495"/>
      <c r="E45" s="495"/>
      <c r="F45" s="495"/>
      <c r="G45" s="495"/>
      <c r="H45" s="105" t="s">
        <v>604</v>
      </c>
      <c r="I45" s="105" t="str">
        <f>VLOOKUP(B45,ИСХОДНИК!A:P,15,FALSE())</f>
        <v>U6 PL40R</v>
      </c>
      <c r="J45" s="139">
        <f>VLOOKUP(B45,ИСХОДНИК!A:P,13,FALSE())</f>
        <v>150000</v>
      </c>
      <c r="K45" s="139">
        <f>VLOOKUP(B45,ИСХОДНИК!A:P,14,FALSE())</f>
        <v>174000</v>
      </c>
      <c r="L45" s="340" t="str">
        <f>IF(VLOOKUP(B45,ИСХОДНИК!A:R,18,FALSE())=1,ИСХОДНИК!$T$2,IF(VLOOKUP(B45,ИСХОДНИК!A:R,18,FALSE())=2,ИСХОДНИК!$T$5,IF(VLOOKUP(B45,ИСХОДНИК!A:R,18,FALSE())=3,ИСХОДНИК!$T$6)))</f>
        <v>◑</v>
      </c>
    </row>
    <row r="46" spans="2:12" ht="19.5">
      <c r="I46" s="105"/>
      <c r="J46" s="139"/>
      <c r="K46" s="139"/>
      <c r="L46" s="340"/>
    </row>
    <row r="47" spans="2:12" ht="24.5">
      <c r="B47" s="97" t="s">
        <v>610</v>
      </c>
      <c r="C47" s="495" t="str">
        <f>VLOOKUP(B47,ИСХОДНИК!A:P,2,FALSE())</f>
        <v xml:space="preserve">Функциональный модуль для клапана ICLX-R 32-40 </v>
      </c>
      <c r="D47" s="495"/>
      <c r="E47" s="495"/>
      <c r="F47" s="495"/>
      <c r="G47" s="495"/>
      <c r="H47" s="105" t="s">
        <v>611</v>
      </c>
      <c r="I47" s="105" t="str">
        <f>VLOOKUP(B47,ИСХОДНИК!A:P,15,FALSE())</f>
        <v>U6 PL40R</v>
      </c>
      <c r="J47" s="139">
        <f>VLOOKUP(B47,ИСХОДНИК!A:P,13,FALSE())</f>
        <v>660000</v>
      </c>
      <c r="K47" s="139">
        <f>VLOOKUP(B47,ИСХОДНИК!A:P,14,FALSE())</f>
        <v>765600</v>
      </c>
      <c r="L47" s="140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2" ht="24.5">
      <c r="B48" s="97" t="s">
        <v>612</v>
      </c>
      <c r="C48" s="495" t="str">
        <f>VLOOKUP(B48,ИСХОДНИК!A:P,2,FALSE())</f>
        <v xml:space="preserve">Функциональный модуль для клапана ICLX-R 50 </v>
      </c>
      <c r="D48" s="495"/>
      <c r="E48" s="495"/>
      <c r="F48" s="495"/>
      <c r="G48" s="495"/>
      <c r="H48" s="105" t="s">
        <v>611</v>
      </c>
      <c r="I48" s="105" t="str">
        <f>VLOOKUP(B48,ИСХОДНИК!A:P,15,FALSE())</f>
        <v>U6 PL40R</v>
      </c>
      <c r="J48" s="139">
        <f>VLOOKUP(B48,ИСХОДНИК!A:P,13,FALSE())</f>
        <v>720000</v>
      </c>
      <c r="K48" s="139">
        <f>VLOOKUP(B48,ИСХОДНИК!A:P,14,FALSE())</f>
        <v>835200</v>
      </c>
      <c r="L48" s="140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2" ht="24.5">
      <c r="B49" s="97" t="s">
        <v>613</v>
      </c>
      <c r="C49" s="495" t="str">
        <f>VLOOKUP(B49,ИСХОДНИК!A:P,2,FALSE())</f>
        <v xml:space="preserve">Функциональный модуль для клапана ICLX-R 65-80 </v>
      </c>
      <c r="D49" s="495"/>
      <c r="E49" s="495"/>
      <c r="F49" s="495"/>
      <c r="G49" s="495"/>
      <c r="H49" s="105" t="s">
        <v>611</v>
      </c>
      <c r="I49" s="105" t="str">
        <f>VLOOKUP(B49,ИСХОДНИК!A:P,15,FALSE())</f>
        <v>U6 PL40R</v>
      </c>
      <c r="J49" s="139">
        <f>VLOOKUP(B49,ИСХОДНИК!A:P,13,FALSE())</f>
        <v>1140000</v>
      </c>
      <c r="K49" s="139">
        <f>VLOOKUP(B49,ИСХОДНИК!A:P,14,FALSE())</f>
        <v>1322400</v>
      </c>
      <c r="L49" s="140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2" ht="24.5">
      <c r="B50" s="97" t="s">
        <v>614</v>
      </c>
      <c r="C50" s="495" t="str">
        <f>VLOOKUP(B50,ИСХОДНИК!A:P,2,FALSE())</f>
        <v xml:space="preserve">Функциональный модуль для клапана ICLX-R 100 </v>
      </c>
      <c r="D50" s="495"/>
      <c r="E50" s="495"/>
      <c r="F50" s="495"/>
      <c r="G50" s="495"/>
      <c r="H50" s="105" t="s">
        <v>611</v>
      </c>
      <c r="I50" s="105" t="str">
        <f>VLOOKUP(B50,ИСХОДНИК!A:P,15,FALSE())</f>
        <v>U6 PL40R</v>
      </c>
      <c r="J50" s="139">
        <f>VLOOKUP(B50,ИСХОДНИК!A:P,13,FALSE())</f>
        <v>1680000</v>
      </c>
      <c r="K50" s="139">
        <f>VLOOKUP(B50,ИСХОДНИК!A:P,14,FALSE())</f>
        <v>1948799.9999999998</v>
      </c>
      <c r="L50" s="140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2" ht="24.5">
      <c r="B51" s="97" t="s">
        <v>615</v>
      </c>
      <c r="C51" s="495" t="str">
        <f>VLOOKUP(B51,ИСХОДНИК!A:P,2,FALSE())</f>
        <v xml:space="preserve">Функциональный модуль для клапана ICLX-R 125 </v>
      </c>
      <c r="D51" s="495"/>
      <c r="E51" s="495"/>
      <c r="F51" s="495"/>
      <c r="G51" s="495"/>
      <c r="H51" s="105" t="s">
        <v>611</v>
      </c>
      <c r="I51" s="105" t="str">
        <f>VLOOKUP(B51,ИСХОДНИК!A:P,15,FALSE())</f>
        <v>U6 PL40R</v>
      </c>
      <c r="J51" s="139">
        <f>VLOOKUP(B51,ИСХОДНИК!A:P,13,FALSE())</f>
        <v>2994000</v>
      </c>
      <c r="K51" s="139">
        <f>VLOOKUP(B51,ИСХОДНИК!A:P,14,FALSE())</f>
        <v>3473039.9999999995</v>
      </c>
      <c r="L51" s="140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2" ht="24.5">
      <c r="B52" s="97" t="s">
        <v>616</v>
      </c>
      <c r="C52" s="495" t="str">
        <f>VLOOKUP(B52,ИСХОДНИК!A:P,2,FALSE())</f>
        <v>Функциональный модуль для клапана ICLX-R 150</v>
      </c>
      <c r="D52" s="495"/>
      <c r="E52" s="495"/>
      <c r="F52" s="495"/>
      <c r="G52" s="495"/>
      <c r="H52" s="105" t="s">
        <v>611</v>
      </c>
      <c r="I52" s="105" t="str">
        <f>VLOOKUP(B52,ИСХОДНИК!A:P,15,FALSE())</f>
        <v>U6 PL40R</v>
      </c>
      <c r="J52" s="139">
        <f>VLOOKUP(B52,ИСХОДНИК!A:P,13,FALSE())</f>
        <v>3594000</v>
      </c>
      <c r="K52" s="139">
        <f>VLOOKUP(B52,ИСХОДНИК!A:P,14,FALSE())</f>
        <v>4169039.9999999995</v>
      </c>
      <c r="L52" s="140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2:12" ht="18" customHeight="1">
      <c r="I53" s="105"/>
      <c r="J53" s="139"/>
      <c r="K53" s="139"/>
      <c r="L53" s="340"/>
    </row>
    <row r="54" spans="2:12" ht="15.75" customHeight="1">
      <c r="B54" s="97" t="s">
        <v>555</v>
      </c>
      <c r="C54" s="280" t="str">
        <f>VLOOKUP(B54,ИСХОДНИК!A:P,2,FALSE())</f>
        <v>Сальник DN 20-65  с комплектом уплотнений. Для клапанов ICS-R, ICLX-R, PM, PMLX</v>
      </c>
      <c r="D54" s="280"/>
      <c r="E54" s="280"/>
      <c r="F54" s="280"/>
      <c r="G54" s="280"/>
      <c r="H54" s="105" t="s">
        <v>617</v>
      </c>
      <c r="I54" s="105" t="str">
        <f>VLOOKUP(B54,ИСХОДНИК!A:P,15,FALSE())</f>
        <v>U6 PL40R</v>
      </c>
      <c r="J54" s="139">
        <f>VLOOKUP(B54,ИСХОДНИК!A:P,13,FALSE())</f>
        <v>27000</v>
      </c>
      <c r="K54" s="139">
        <f>VLOOKUP(B54,ИСХОДНИК!A:P,14,FALSE())</f>
        <v>31319.999999999996</v>
      </c>
      <c r="L54" s="340" t="str">
        <f>IF(VLOOKUP(B54,ИСХОДНИК!A:R,18,FALSE())=1,ИСХОДНИК!$T$2,IF(VLOOKUP(B54,ИСХОДНИК!A:R,18,FALSE())=2,ИСХОДНИК!$T$5,IF(VLOOKUP(B54,ИСХОДНИК!A:R,18,FALSE())=3,ИСХОДНИК!$T$6)))</f>
        <v>◑</v>
      </c>
    </row>
    <row r="55" spans="2:12" ht="17.25" customHeight="1">
      <c r="B55" s="97" t="s">
        <v>557</v>
      </c>
      <c r="C55" s="280" t="str">
        <f>VLOOKUP(B55,ИСХОДНИК!A:P,2,FALSE())</f>
        <v>Сальник DN 80-100  с комплектом уплотнений. Для клапанов ICS-R, ICLX-R, PM, PMLX</v>
      </c>
      <c r="D55" s="280"/>
      <c r="E55" s="280"/>
      <c r="F55" s="280"/>
      <c r="G55" s="280"/>
      <c r="H55" s="105" t="s">
        <v>617</v>
      </c>
      <c r="I55" s="105" t="str">
        <f>VLOOKUP(B55,ИСХОДНИК!A:P,15,FALSE())</f>
        <v>U6 PL40R</v>
      </c>
      <c r="J55" s="139">
        <f>VLOOKUP(B55,ИСХОДНИК!A:P,13,FALSE())</f>
        <v>36000</v>
      </c>
      <c r="K55" s="139">
        <f>VLOOKUP(B55,ИСХОДНИК!A:P,14,FALSE())</f>
        <v>41760</v>
      </c>
      <c r="L55" s="340" t="str">
        <f>IF(VLOOKUP(B55,ИСХОДНИК!A:R,18,FALSE())=1,ИСХОДНИК!$T$2,IF(VLOOKUP(B55,ИСХОДНИК!A:R,18,FALSE())=2,ИСХОДНИК!$T$5,IF(VLOOKUP(B55,ИСХОДНИК!A:R,18,FALSE())=3,ИСХОДНИК!$T$6)))</f>
        <v>◑</v>
      </c>
    </row>
    <row r="56" spans="2:12" ht="17.25" customHeight="1"/>
  </sheetData>
  <autoFilter ref="B11:L11" xr:uid="{00000000-0009-0000-0000-00000D000000}"/>
  <mergeCells count="26">
    <mergeCell ref="C52:G52"/>
    <mergeCell ref="C47:G47"/>
    <mergeCell ref="C48:G48"/>
    <mergeCell ref="C49:G49"/>
    <mergeCell ref="C50:G50"/>
    <mergeCell ref="C51:G51"/>
    <mergeCell ref="C41:G41"/>
    <mergeCell ref="C42:G42"/>
    <mergeCell ref="C43:G43"/>
    <mergeCell ref="C44:G44"/>
    <mergeCell ref="C45:G45"/>
    <mergeCell ref="B37:E37"/>
    <mergeCell ref="F37:H37"/>
    <mergeCell ref="I37:L37"/>
    <mergeCell ref="C39:G39"/>
    <mergeCell ref="C40:G40"/>
    <mergeCell ref="B24:F24"/>
    <mergeCell ref="B25:F25"/>
    <mergeCell ref="D28:E28"/>
    <mergeCell ref="D29:E29"/>
    <mergeCell ref="D30:E30"/>
    <mergeCell ref="B3:G3"/>
    <mergeCell ref="I10:L10"/>
    <mergeCell ref="B21:F21"/>
    <mergeCell ref="B22:F22"/>
    <mergeCell ref="B23:F23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6"/>
  <sheetViews>
    <sheetView showGridLines="0" zoomScaleNormal="100" workbookViewId="0">
      <selection activeCell="J12" sqref="J12"/>
    </sheetView>
  </sheetViews>
  <sheetFormatPr defaultColWidth="9.1796875" defaultRowHeight="12.75" customHeight="1"/>
  <cols>
    <col min="1" max="1" width="2.1796875" customWidth="1"/>
    <col min="2" max="2" width="15.54296875" style="216" customWidth="1"/>
    <col min="3" max="3" width="14.453125" customWidth="1"/>
    <col min="4" max="4" width="25.7265625" customWidth="1"/>
    <col min="6" max="6" width="20.453125" customWidth="1"/>
    <col min="7" max="7" width="11.1796875" customWidth="1"/>
    <col min="8" max="8" width="17.453125" customWidth="1"/>
    <col min="9" max="9" width="21.453125" customWidth="1"/>
    <col min="10" max="10" width="11.7265625" customWidth="1"/>
    <col min="11" max="11" width="11.1796875" customWidth="1"/>
    <col min="12" max="12" width="4" customWidth="1"/>
  </cols>
  <sheetData>
    <row r="1" spans="1:16" ht="11.25" customHeight="1"/>
    <row r="2" spans="1:16" ht="41.25" customHeight="1">
      <c r="B2" s="341" t="s">
        <v>580</v>
      </c>
      <c r="C2" s="342"/>
      <c r="D2" s="342"/>
      <c r="E2" s="342"/>
      <c r="F2" s="342"/>
      <c r="G2" s="342"/>
      <c r="H2" s="342"/>
      <c r="I2" s="342"/>
      <c r="J2" s="342"/>
      <c r="K2" s="342"/>
      <c r="L2" s="343"/>
    </row>
    <row r="3" spans="1:16" ht="51.75" customHeight="1">
      <c r="B3" s="556" t="s">
        <v>618</v>
      </c>
      <c r="C3" s="556"/>
      <c r="D3" s="556"/>
      <c r="E3" s="556"/>
      <c r="F3" s="556"/>
      <c r="G3" s="556"/>
      <c r="H3" s="344"/>
      <c r="I3" s="344"/>
      <c r="J3" s="344"/>
      <c r="K3" s="344"/>
      <c r="L3" s="345"/>
    </row>
    <row r="4" spans="1:16" ht="10.5" customHeight="1">
      <c r="B4" s="346" t="s">
        <v>58</v>
      </c>
      <c r="C4" s="347" t="s">
        <v>59</v>
      </c>
      <c r="D4" s="348"/>
      <c r="E4" s="349"/>
      <c r="F4" s="349"/>
      <c r="G4" s="350"/>
      <c r="H4" s="344"/>
      <c r="I4" s="344"/>
      <c r="J4" s="344"/>
      <c r="K4" s="344"/>
      <c r="L4" s="345"/>
    </row>
    <row r="5" spans="1:16" ht="10.5" customHeight="1">
      <c r="B5" s="351" t="s">
        <v>61</v>
      </c>
      <c r="C5" s="347" t="s">
        <v>62</v>
      </c>
      <c r="D5" s="348"/>
      <c r="E5" s="349"/>
      <c r="F5" s="349"/>
      <c r="G5" s="350"/>
      <c r="H5" s="344"/>
      <c r="I5" s="344"/>
      <c r="J5" s="344"/>
      <c r="K5" s="344"/>
      <c r="L5" s="345"/>
    </row>
    <row r="6" spans="1:16" ht="11.25" customHeight="1">
      <c r="B6" s="352" t="s">
        <v>65</v>
      </c>
      <c r="C6" s="347" t="s">
        <v>66</v>
      </c>
      <c r="D6" s="348"/>
      <c r="E6" s="349"/>
      <c r="F6" s="349"/>
      <c r="G6" s="350"/>
      <c r="H6" s="344"/>
      <c r="I6" s="344"/>
      <c r="J6" s="344"/>
      <c r="K6" s="344"/>
      <c r="L6" s="345"/>
    </row>
    <row r="7" spans="1:16" ht="11.25" customHeight="1">
      <c r="B7" s="352"/>
      <c r="C7" s="347"/>
      <c r="D7" s="348"/>
      <c r="E7" s="349"/>
      <c r="F7" s="349"/>
      <c r="G7" s="350"/>
      <c r="H7" s="344"/>
      <c r="I7" s="344"/>
      <c r="J7" s="344"/>
      <c r="K7" s="344"/>
      <c r="L7" s="345"/>
    </row>
    <row r="8" spans="1:16" ht="15" customHeight="1">
      <c r="B8" s="353"/>
      <c r="C8" s="354"/>
      <c r="D8" s="354"/>
      <c r="E8" s="355"/>
      <c r="F8" s="355"/>
      <c r="G8" s="350"/>
      <c r="H8" s="344"/>
      <c r="I8" s="344"/>
      <c r="J8" s="344"/>
      <c r="K8" s="344"/>
      <c r="L8" s="345"/>
    </row>
    <row r="9" spans="1:16" ht="15" customHeight="1">
      <c r="A9" s="32"/>
      <c r="B9" s="356"/>
      <c r="C9" s="357"/>
      <c r="D9" s="357"/>
      <c r="E9" s="358"/>
      <c r="F9" s="358"/>
      <c r="G9" s="350"/>
      <c r="H9" s="344"/>
      <c r="I9" s="344"/>
      <c r="J9" s="344"/>
      <c r="K9" s="344"/>
      <c r="L9" s="345"/>
    </row>
    <row r="10" spans="1:16" ht="15" customHeight="1">
      <c r="B10" s="359"/>
      <c r="C10" s="360"/>
      <c r="D10" s="360"/>
      <c r="E10" s="360"/>
      <c r="F10" s="360"/>
      <c r="G10" s="360"/>
      <c r="H10" s="360"/>
      <c r="I10" s="492"/>
      <c r="J10" s="492"/>
      <c r="K10" s="492"/>
      <c r="L10" s="492"/>
    </row>
    <row r="11" spans="1:16" ht="40.5">
      <c r="B11" s="95" t="s">
        <v>72</v>
      </c>
      <c r="C11" s="95" t="s">
        <v>90</v>
      </c>
      <c r="D11" s="95" t="s">
        <v>91</v>
      </c>
      <c r="E11" s="95" t="s">
        <v>81</v>
      </c>
      <c r="F11" s="95" t="s">
        <v>84</v>
      </c>
      <c r="G11" s="95" t="s">
        <v>82</v>
      </c>
      <c r="H11" s="95" t="s">
        <v>83</v>
      </c>
      <c r="I11" s="208" t="s">
        <v>67</v>
      </c>
      <c r="J11" s="94" t="s">
        <v>74</v>
      </c>
      <c r="K11" s="94" t="s">
        <v>75</v>
      </c>
      <c r="L11" s="242" t="s">
        <v>55</v>
      </c>
      <c r="P11" s="361"/>
    </row>
    <row r="12" spans="1:16" ht="27" customHeight="1">
      <c r="B12" s="153" t="s">
        <v>619</v>
      </c>
      <c r="C12" s="196" t="str">
        <f>VLOOKUP(B12,ИСХОДНИК!A:P,5,FALSE())</f>
        <v>PMLX 32</v>
      </c>
      <c r="D12" s="134" t="str">
        <f>VLOOKUP(B12,ИСХОДНИК!A:P,11,FALSE())</f>
        <v>Фланец. Ответные фланцы под сварку DIN</v>
      </c>
      <c r="E12" s="182">
        <f>VLOOKUP(B12,ИСХОДНИК!A:P,7,FALSE())</f>
        <v>32</v>
      </c>
      <c r="F12" s="137" t="str">
        <f>VLOOKUP(B12,ИСХОДНИК!A:P,10,FALSE())</f>
        <v>R717 и фреоны</v>
      </c>
      <c r="G12" s="137" t="str">
        <f>VLOOKUP(B12,ИСХОДНИК!A:P,8,FALSE())</f>
        <v>28 / 30</v>
      </c>
      <c r="H12" s="181" t="str">
        <f>VLOOKUP(B12,ИСХОДНИК!A:P,9,FALSE())</f>
        <v xml:space="preserve"> -45…120</v>
      </c>
      <c r="I12" s="182" t="str">
        <f>VLOOKUP(B12,ИСХОДНИК!A:P,15,FALSE())</f>
        <v>PR PL40R-Project</v>
      </c>
      <c r="J12" s="139">
        <f>VLOOKUP(B12,ИСХОДНИК!A:P,13,FALSE())</f>
        <v>930000</v>
      </c>
      <c r="K12" s="139">
        <f>VLOOKUP(B12,ИСХОДНИК!A:P,14,FALSE())</f>
        <v>1078800</v>
      </c>
      <c r="L12" s="198" t="str">
        <f>IF(VLOOKUP(B12,ИСХОДНИК!A:R,18,FALSE())=1,ИСХОДНИК!$T$2,IF(VLOOKUP(B12,ИСХОДНИК!A:R,18,FALSE())=2,ИСХОДНИК!$T$5,IF(VLOOKUP(B12,ИСХОДНИК!A:R,18,FALSE())=3,ИСХОДНИК!$T$6)))</f>
        <v>○</v>
      </c>
    </row>
    <row r="13" spans="1:16" ht="27" customHeight="1">
      <c r="B13" s="97" t="s">
        <v>620</v>
      </c>
      <c r="C13" s="196" t="str">
        <f>VLOOKUP(B13,ИСХОДНИК!A:P,5,FALSE())</f>
        <v>PMLX 40</v>
      </c>
      <c r="D13" s="134" t="str">
        <f>VLOOKUP(B13,ИСХОДНИК!A:P,11,FALSE())</f>
        <v>Фланец. Ответные фланцы под сварку DIN</v>
      </c>
      <c r="E13" s="182">
        <f>VLOOKUP(B13,ИСХОДНИК!A:P,7,FALSE())</f>
        <v>40</v>
      </c>
      <c r="F13" s="137" t="str">
        <f>VLOOKUP(B13,ИСХОДНИК!A:P,10,FALSE())</f>
        <v>R717 и фреоны</v>
      </c>
      <c r="G13" s="137" t="str">
        <f>VLOOKUP(B13,ИСХОДНИК!A:P,8,FALSE())</f>
        <v>28 / 30</v>
      </c>
      <c r="H13" s="181" t="str">
        <f>VLOOKUP(B13,ИСХОДНИК!A:P,9,FALSE())</f>
        <v xml:space="preserve"> -45…120</v>
      </c>
      <c r="I13" s="182" t="str">
        <f>VLOOKUP(B13,ИСХОДНИК!A:P,15,FALSE())</f>
        <v>PR PL40R-Project</v>
      </c>
      <c r="J13" s="139">
        <f>VLOOKUP(B13,ИСХОДНИК!A:P,13,FALSE())</f>
        <v>960000</v>
      </c>
      <c r="K13" s="139">
        <f>VLOOKUP(B13,ИСХОДНИК!A:P,14,FALSE())</f>
        <v>1113600</v>
      </c>
      <c r="L13" s="198" t="str">
        <f>IF(VLOOKUP(B13,ИСХОДНИК!A:R,18,FALSE())=1,ИСХОДНИК!$T$2,IF(VLOOKUP(B13,ИСХОДНИК!A:R,18,FALSE())=2,ИСХОДНИК!$T$5,IF(VLOOKUP(B13,ИСХОДНИК!A:R,18,FALSE())=3,ИСХОДНИК!$T$6)))</f>
        <v>○</v>
      </c>
    </row>
    <row r="14" spans="1:16" ht="27" customHeight="1">
      <c r="B14" s="97" t="s">
        <v>621</v>
      </c>
      <c r="C14" s="196" t="str">
        <f>VLOOKUP(B14,ИСХОДНИК!A:P,5,FALSE())</f>
        <v>PMLX 50</v>
      </c>
      <c r="D14" s="134" t="str">
        <f>VLOOKUP(B14,ИСХОДНИК!A:P,11,FALSE())</f>
        <v>Фланец. Ответные фланцы под сварку DIN</v>
      </c>
      <c r="E14" s="182">
        <f>VLOOKUP(B14,ИСХОДНИК!A:P,7,FALSE())</f>
        <v>50</v>
      </c>
      <c r="F14" s="137" t="str">
        <f>VLOOKUP(B14,ИСХОДНИК!A:P,10,FALSE())</f>
        <v>R717 и фреоны</v>
      </c>
      <c r="G14" s="137" t="str">
        <f>VLOOKUP(B14,ИСХОДНИК!A:P,8,FALSE())</f>
        <v>28 / 30</v>
      </c>
      <c r="H14" s="181" t="str">
        <f>VLOOKUP(B14,ИСХОДНИК!A:P,9,FALSE())</f>
        <v xml:space="preserve"> -45…120</v>
      </c>
      <c r="I14" s="182" t="str">
        <f>VLOOKUP(B14,ИСХОДНИК!A:P,15,FALSE())</f>
        <v>PR PL40R-Project</v>
      </c>
      <c r="J14" s="139">
        <f>VLOOKUP(B14,ИСХОДНИК!A:P,13,FALSE())</f>
        <v>1020000</v>
      </c>
      <c r="K14" s="139">
        <f>VLOOKUP(B14,ИСХОДНИК!A:P,14,FALSE())</f>
        <v>1183200</v>
      </c>
      <c r="L14" s="198" t="str">
        <f>IF(VLOOKUP(B14,ИСХОДНИК!A:R,18,FALSE())=1,ИСХОДНИК!$T$2,IF(VLOOKUP(B14,ИСХОДНИК!A:R,18,FALSE())=2,ИСХОДНИК!$T$5,IF(VLOOKUP(B14,ИСХОДНИК!A:R,18,FALSE())=3,ИСХОДНИК!$T$6)))</f>
        <v>○</v>
      </c>
    </row>
    <row r="15" spans="1:16" ht="27" customHeight="1">
      <c r="B15" s="97" t="s">
        <v>622</v>
      </c>
      <c r="C15" s="196" t="str">
        <f>VLOOKUP(B15,ИСХОДНИК!A:P,5,FALSE())</f>
        <v>PMLX 65</v>
      </c>
      <c r="D15" s="134" t="str">
        <f>VLOOKUP(B15,ИСХОДНИК!A:P,11,FALSE())</f>
        <v>Фланец. Ответные фланцы под сварку DIN</v>
      </c>
      <c r="E15" s="182">
        <f>VLOOKUP(B15,ИСХОДНИК!A:P,7,FALSE())</f>
        <v>65</v>
      </c>
      <c r="F15" s="137" t="str">
        <f>VLOOKUP(B15,ИСХОДНИК!A:P,10,FALSE())</f>
        <v>R717 и фреоны</v>
      </c>
      <c r="G15" s="137" t="str">
        <f>VLOOKUP(B15,ИСХОДНИК!A:P,8,FALSE())</f>
        <v>28 / 30</v>
      </c>
      <c r="H15" s="181" t="str">
        <f>VLOOKUP(B15,ИСХОДНИК!A:P,9,FALSE())</f>
        <v xml:space="preserve"> -45…120</v>
      </c>
      <c r="I15" s="182" t="str">
        <f>VLOOKUP(B15,ИСХОДНИК!A:P,15,FALSE())</f>
        <v>PR PL40R-Project</v>
      </c>
      <c r="J15" s="139">
        <f>VLOOKUP(B15,ИСХОДНИК!A:P,13,FALSE())</f>
        <v>1194000</v>
      </c>
      <c r="K15" s="139">
        <f>VLOOKUP(B15,ИСХОДНИК!A:P,14,FALSE())</f>
        <v>1385040</v>
      </c>
      <c r="L15" s="198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  <row r="16" spans="1:16" ht="27" customHeight="1">
      <c r="B16" s="97" t="s">
        <v>623</v>
      </c>
      <c r="C16" s="196" t="str">
        <f>VLOOKUP(B16,ИСХОДНИК!A:P,5,FALSE())</f>
        <v>PMLX 80</v>
      </c>
      <c r="D16" s="134" t="str">
        <f>VLOOKUP(B16,ИСХОДНИК!A:P,11,FALSE())</f>
        <v>Фланец. Ответные фланцы под сварку DIN</v>
      </c>
      <c r="E16" s="182">
        <f>VLOOKUP(B16,ИСХОДНИК!A:P,7,FALSE())</f>
        <v>80</v>
      </c>
      <c r="F16" s="137" t="str">
        <f>VLOOKUP(B16,ИСХОДНИК!A:P,10,FALSE())</f>
        <v>R717 и фреоны</v>
      </c>
      <c r="G16" s="137" t="str">
        <f>VLOOKUP(B16,ИСХОДНИК!A:P,8,FALSE())</f>
        <v>28 / 30</v>
      </c>
      <c r="H16" s="181" t="str">
        <f>VLOOKUP(B16,ИСХОДНИК!A:P,9,FALSE())</f>
        <v xml:space="preserve"> -45…120</v>
      </c>
      <c r="I16" s="182" t="str">
        <f>VLOOKUP(B16,ИСХОДНИК!A:P,15,FALSE())</f>
        <v>PR PL40R-Project</v>
      </c>
      <c r="J16" s="139">
        <f>VLOOKUP(B16,ИСХОДНИК!A:P,13,FALSE())</f>
        <v>1740000</v>
      </c>
      <c r="K16" s="139">
        <f>VLOOKUP(B16,ИСХОДНИК!A:P,14,FALSE())</f>
        <v>2018399.9999999998</v>
      </c>
      <c r="L16" s="198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12" ht="27" customHeight="1">
      <c r="B17" s="97" t="s">
        <v>624</v>
      </c>
      <c r="C17" s="98" t="str">
        <f>VLOOKUP(B17,ИСХОДНИК!A:P,5,FALSE())</f>
        <v>PMLX 100</v>
      </c>
      <c r="D17" s="134" t="str">
        <f>VLOOKUP(B17,ИСХОДНИК!A:P,11,FALSE())</f>
        <v>Фланец. Ответные фланцы под сварку DIN</v>
      </c>
      <c r="E17" s="105">
        <f>VLOOKUP(B17,ИСХОДНИК!A:P,7,FALSE())</f>
        <v>100</v>
      </c>
      <c r="F17" s="137" t="str">
        <f>VLOOKUP(B17,ИСХОДНИК!A:P,10,FALSE())</f>
        <v>R717 и фреоны</v>
      </c>
      <c r="G17" s="137" t="str">
        <f>VLOOKUP(B17,ИСХОДНИК!A:P,8,FALSE())</f>
        <v>28 / 30</v>
      </c>
      <c r="H17" s="137" t="str">
        <f>VLOOKUP(B17,ИСХОДНИК!A:P,9,FALSE())</f>
        <v xml:space="preserve"> -45…120</v>
      </c>
      <c r="I17" s="105" t="str">
        <f>VLOOKUP(B17,ИСХОДНИК!A:P,15,FALSE())</f>
        <v>PR PL40R-Project</v>
      </c>
      <c r="J17" s="139">
        <f>VLOOKUP(B17,ИСХОДНИК!A:P,13,FALSE())</f>
        <v>2490000</v>
      </c>
      <c r="K17" s="139">
        <f>VLOOKUP(B17,ИСХОДНИК!A:P,14,FALSE())</f>
        <v>2888400</v>
      </c>
      <c r="L17" s="140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2" ht="27" customHeight="1">
      <c r="B18" s="97" t="s">
        <v>625</v>
      </c>
      <c r="C18" s="98" t="str">
        <f>VLOOKUP(B18,ИСХОДНИК!A:P,5,FALSE())</f>
        <v>PMLX 125</v>
      </c>
      <c r="D18" s="134" t="str">
        <f>VLOOKUP(B18,ИСХОДНИК!A:P,11,FALSE())</f>
        <v>Под сварку встык DIN</v>
      </c>
      <c r="E18" s="105">
        <f>VLOOKUP(B18,ИСХОДНИК!A:P,7,FALSE())</f>
        <v>125</v>
      </c>
      <c r="F18" s="137" t="str">
        <f>VLOOKUP(B18,ИСХОДНИК!A:P,10,FALSE())</f>
        <v>R717, R744 и фреоны</v>
      </c>
      <c r="G18" s="137">
        <f>VLOOKUP(B18,ИСХОДНИК!A:P,8,FALSE())</f>
        <v>52</v>
      </c>
      <c r="H18" s="137" t="str">
        <f>VLOOKUP(B18,ИСХОДНИК!A:P,9,FALSE())</f>
        <v xml:space="preserve"> -50…120</v>
      </c>
      <c r="I18" s="105" t="str">
        <f>VLOOKUP(B18,ИСХОДНИК!A:P,15,FALSE())</f>
        <v>PR PL40R-Project</v>
      </c>
      <c r="J18" s="139">
        <f>VLOOKUP(B18,ИСХОДНИК!A:P,13,FALSE())</f>
        <v>4020000</v>
      </c>
      <c r="K18" s="139">
        <f>VLOOKUP(B18,ИСХОДНИК!A:P,14,FALSE())</f>
        <v>4663200</v>
      </c>
      <c r="L18" s="104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2" ht="27" customHeight="1">
      <c r="B19" s="238"/>
      <c r="C19" s="240"/>
      <c r="D19" s="224"/>
      <c r="E19" s="223"/>
      <c r="F19" s="225"/>
      <c r="G19" s="225"/>
      <c r="H19" s="225"/>
      <c r="I19" s="223"/>
      <c r="J19" s="241"/>
      <c r="K19" s="241"/>
      <c r="L19" s="264"/>
    </row>
    <row r="20" spans="2:12" ht="21.75" customHeight="1">
      <c r="B20" s="557" t="s">
        <v>626</v>
      </c>
      <c r="C20" s="557"/>
      <c r="D20" s="557"/>
      <c r="E20" s="557"/>
      <c r="F20" s="557"/>
      <c r="G20" s="557"/>
      <c r="H20" s="557"/>
      <c r="I20" s="557"/>
      <c r="J20" s="557"/>
      <c r="K20" s="557"/>
      <c r="L20" s="240"/>
    </row>
    <row r="21" spans="2:12" ht="20.25" customHeight="1">
      <c r="B21" s="362" t="s">
        <v>590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</row>
    <row r="22" spans="2:12" ht="13.5">
      <c r="B22" s="554" t="s">
        <v>627</v>
      </c>
      <c r="C22" s="554"/>
      <c r="D22" s="554"/>
      <c r="E22" s="554"/>
      <c r="F22" s="554"/>
      <c r="G22" s="336" t="s">
        <v>592</v>
      </c>
      <c r="H22" s="107"/>
      <c r="I22" s="107"/>
      <c r="J22" s="107"/>
      <c r="K22" s="107"/>
      <c r="L22" s="107"/>
    </row>
    <row r="23" spans="2:12" ht="13.5">
      <c r="B23" s="554" t="s">
        <v>593</v>
      </c>
      <c r="C23" s="554"/>
      <c r="D23" s="554"/>
      <c r="E23" s="554"/>
      <c r="F23" s="554"/>
      <c r="G23" s="336" t="s">
        <v>597</v>
      </c>
      <c r="H23" s="107"/>
      <c r="I23" s="107"/>
      <c r="J23" s="107"/>
      <c r="K23" s="107"/>
      <c r="L23" s="107"/>
    </row>
    <row r="24" spans="2:12" ht="13.5">
      <c r="B24" s="554" t="s">
        <v>596</v>
      </c>
      <c r="C24" s="554"/>
      <c r="D24" s="554"/>
      <c r="E24" s="554"/>
      <c r="F24" s="554"/>
      <c r="G24" s="336" t="s">
        <v>597</v>
      </c>
      <c r="H24" s="107"/>
      <c r="I24" s="107"/>
      <c r="J24" s="107"/>
      <c r="K24" s="107"/>
      <c r="L24" s="107"/>
    </row>
    <row r="25" spans="2:12" ht="13.5">
      <c r="B25" s="554" t="s">
        <v>598</v>
      </c>
      <c r="C25" s="554"/>
      <c r="D25" s="554"/>
      <c r="E25" s="554"/>
      <c r="F25" s="554"/>
      <c r="G25" s="336" t="s">
        <v>594</v>
      </c>
      <c r="H25" s="107"/>
      <c r="I25" s="107"/>
      <c r="J25" s="107"/>
      <c r="K25" s="107"/>
      <c r="L25" s="107"/>
    </row>
    <row r="26" spans="2:12" ht="13.5">
      <c r="B26" s="554" t="s">
        <v>628</v>
      </c>
      <c r="C26" s="554"/>
      <c r="D26" s="554"/>
      <c r="E26" s="554"/>
      <c r="F26" s="554"/>
      <c r="G26" s="336" t="s">
        <v>597</v>
      </c>
      <c r="H26" s="107"/>
      <c r="I26" s="107"/>
      <c r="J26" s="107"/>
      <c r="K26" s="107"/>
      <c r="L26" s="107"/>
    </row>
  </sheetData>
  <autoFilter ref="B11:L11" xr:uid="{00000000-0009-0000-0000-00000E000000}"/>
  <mergeCells count="8">
    <mergeCell ref="B24:F24"/>
    <mergeCell ref="B25:F25"/>
    <mergeCell ref="B26:F26"/>
    <mergeCell ref="B3:G3"/>
    <mergeCell ref="I10:L10"/>
    <mergeCell ref="B20:K20"/>
    <mergeCell ref="B22:F22"/>
    <mergeCell ref="B23:F23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40"/>
  <sheetViews>
    <sheetView showGridLines="0" topLeftCell="A19" zoomScaleNormal="100" workbookViewId="0">
      <selection activeCell="J12" sqref="J12"/>
    </sheetView>
  </sheetViews>
  <sheetFormatPr defaultColWidth="9.1796875" defaultRowHeight="12" customHeight="1"/>
  <cols>
    <col min="1" max="1" width="2.1796875" style="107" customWidth="1"/>
    <col min="2" max="2" width="16.54296875" style="108" customWidth="1"/>
    <col min="3" max="3" width="17.7265625" style="107" customWidth="1"/>
    <col min="4" max="4" width="25.453125" style="107" customWidth="1"/>
    <col min="5" max="5" width="18.81640625" style="107" customWidth="1"/>
    <col min="6" max="6" width="23.1796875" style="107" customWidth="1"/>
    <col min="7" max="7" width="14.81640625" style="107" customWidth="1"/>
    <col min="8" max="8" width="18" style="107" customWidth="1"/>
    <col min="9" max="9" width="12.1796875" style="107" customWidth="1"/>
    <col min="10" max="10" width="11.7265625" style="107" customWidth="1"/>
    <col min="11" max="11" width="11.1796875" style="107" customWidth="1"/>
    <col min="12" max="12" width="5.453125" style="107" customWidth="1"/>
    <col min="13" max="16384" width="9.1796875" style="107"/>
  </cols>
  <sheetData>
    <row r="1" spans="1:12" ht="11.25" customHeight="1"/>
    <row r="2" spans="1:12" ht="41.25" customHeight="1">
      <c r="B2" s="213" t="s">
        <v>629</v>
      </c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2" ht="44.25" customHeight="1">
      <c r="B3" s="491" t="s">
        <v>630</v>
      </c>
      <c r="C3" s="491"/>
      <c r="D3" s="491"/>
      <c r="E3" s="491"/>
      <c r="F3" s="491"/>
      <c r="G3" s="113"/>
      <c r="H3" s="113"/>
      <c r="I3" s="113"/>
      <c r="J3" s="113"/>
      <c r="K3" s="113"/>
      <c r="L3" s="114"/>
    </row>
    <row r="4" spans="1:12" ht="9.75" customHeight="1">
      <c r="B4" s="76" t="s">
        <v>58</v>
      </c>
      <c r="C4" s="115" t="s">
        <v>59</v>
      </c>
      <c r="D4" s="163"/>
      <c r="E4" s="164"/>
      <c r="F4" s="116"/>
      <c r="G4" s="116"/>
      <c r="H4" s="113"/>
      <c r="I4" s="113"/>
      <c r="J4" s="113"/>
      <c r="K4" s="113"/>
      <c r="L4" s="114"/>
    </row>
    <row r="5" spans="1:12" ht="10.5" customHeight="1">
      <c r="B5" s="78" t="s">
        <v>61</v>
      </c>
      <c r="C5" s="115" t="s">
        <v>62</v>
      </c>
      <c r="D5" s="163"/>
      <c r="E5" s="164"/>
      <c r="F5" s="116"/>
      <c r="G5" s="116"/>
      <c r="H5" s="113"/>
      <c r="I5" s="113"/>
      <c r="J5" s="113"/>
      <c r="K5" s="113"/>
      <c r="L5" s="114"/>
    </row>
    <row r="6" spans="1:12" ht="10.5" customHeight="1">
      <c r="B6" s="80" t="s">
        <v>65</v>
      </c>
      <c r="C6" s="115" t="s">
        <v>66</v>
      </c>
      <c r="D6" s="163"/>
      <c r="E6" s="164"/>
      <c r="F6" s="116"/>
      <c r="G6" s="116"/>
      <c r="H6" s="113"/>
      <c r="I6" s="113"/>
      <c r="J6" s="113"/>
      <c r="K6" s="113"/>
      <c r="L6" s="114"/>
    </row>
    <row r="7" spans="1:12" ht="10.5" customHeight="1">
      <c r="B7" s="80"/>
      <c r="C7" s="115"/>
      <c r="D7" s="163"/>
      <c r="E7" s="164"/>
      <c r="F7" s="116"/>
      <c r="G7" s="116"/>
      <c r="H7" s="113"/>
      <c r="I7" s="113"/>
      <c r="J7" s="113"/>
      <c r="K7" s="113"/>
      <c r="L7" s="114"/>
    </row>
    <row r="8" spans="1:12" ht="15" customHeight="1">
      <c r="B8" s="118"/>
      <c r="C8" s="119"/>
      <c r="D8" s="119"/>
      <c r="E8" s="119"/>
      <c r="F8" s="120"/>
      <c r="G8" s="120"/>
      <c r="H8" s="113"/>
      <c r="I8" s="113"/>
      <c r="J8" s="113"/>
      <c r="K8" s="113"/>
      <c r="L8" s="114"/>
    </row>
    <row r="9" spans="1:12" ht="15" customHeight="1">
      <c r="A9" s="121"/>
      <c r="B9" s="122"/>
      <c r="C9" s="74"/>
      <c r="D9" s="74"/>
      <c r="E9" s="74"/>
      <c r="F9" s="123"/>
      <c r="G9" s="123"/>
      <c r="H9" s="113"/>
      <c r="I9" s="113"/>
      <c r="J9" s="113"/>
      <c r="K9" s="113"/>
      <c r="L9" s="114"/>
    </row>
    <row r="10" spans="1:12" ht="21.75" customHeight="1">
      <c r="B10" s="558" t="s">
        <v>631</v>
      </c>
      <c r="C10" s="558"/>
      <c r="D10" s="558"/>
      <c r="E10" s="558"/>
      <c r="F10" s="558"/>
      <c r="G10" s="558"/>
      <c r="H10" s="558"/>
      <c r="I10" s="492"/>
      <c r="J10" s="492"/>
      <c r="K10" s="492"/>
      <c r="L10" s="492"/>
    </row>
    <row r="11" spans="1:12" ht="40.5">
      <c r="B11" s="95" t="s">
        <v>72</v>
      </c>
      <c r="C11" s="95" t="s">
        <v>90</v>
      </c>
      <c r="D11" s="208" t="s">
        <v>91</v>
      </c>
      <c r="E11" s="95" t="s">
        <v>632</v>
      </c>
      <c r="F11" s="95" t="s">
        <v>84</v>
      </c>
      <c r="G11" s="95" t="s">
        <v>82</v>
      </c>
      <c r="H11" s="95" t="s">
        <v>83</v>
      </c>
      <c r="I11" s="237" t="s">
        <v>67</v>
      </c>
      <c r="J11" s="94" t="s">
        <v>74</v>
      </c>
      <c r="K11" s="94" t="s">
        <v>75</v>
      </c>
      <c r="L11" s="301" t="s">
        <v>55</v>
      </c>
    </row>
    <row r="12" spans="1:12" ht="22.5" customHeight="1">
      <c r="B12" s="97" t="s">
        <v>633</v>
      </c>
      <c r="C12" s="98" t="str">
        <f>VLOOKUP(B12,ИСХОДНИК!A:P,5,FALSE())</f>
        <v>CVP-L</v>
      </c>
      <c r="D12" s="137" t="str">
        <f>VLOOKUP(B12,ИСХОДНИК!A:P,11,FALSE())</f>
        <v>Резьба M24х1,5</v>
      </c>
      <c r="E12" s="137" t="str">
        <f>VLOOKUP(B12,ИСХОДНИК!A:P,6,FALSE())</f>
        <v xml:space="preserve"> -0,65 ÷ 7</v>
      </c>
      <c r="F12" s="181" t="str">
        <f>VLOOKUP(B12,ИСХОДНИК!A:P,10,FALSE())</f>
        <v>R717 и фреоны</v>
      </c>
      <c r="G12" s="138" t="str">
        <f>VLOOKUP(B12,ИСХОДНИК!A:P,8,FALSE())</f>
        <v>28 / 30</v>
      </c>
      <c r="H12" s="137" t="str">
        <f>VLOOKUP(B12,ИСХОДНИК!A:P,9,FALSE())</f>
        <v xml:space="preserve"> -50…120</v>
      </c>
      <c r="I12" s="105" t="str">
        <f>VLOOKUP(B12,ИСХОДНИК!A:P,15,FALSE())</f>
        <v>U6 PL40R</v>
      </c>
      <c r="J12" s="139">
        <f>VLOOKUP(B12,ИСХОДНИК!A:P,13,FALSE())</f>
        <v>168000</v>
      </c>
      <c r="K12" s="139">
        <f>VLOOKUP(B12,ИСХОДНИК!A:P,14,FALSE())</f>
        <v>194880</v>
      </c>
      <c r="L12" s="104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2" ht="22.5" customHeight="1">
      <c r="B13" s="97" t="s">
        <v>634</v>
      </c>
      <c r="C13" s="98" t="str">
        <f>VLOOKUP(B13,ИСХОДНИК!A:P,5,FALSE())</f>
        <v xml:space="preserve">CVP-M </v>
      </c>
      <c r="D13" s="137" t="str">
        <f>VLOOKUP(B13,ИСХОДНИК!A:P,11,FALSE())</f>
        <v>Резьба M24х1,5</v>
      </c>
      <c r="E13" s="137" t="str">
        <f>VLOOKUP(B13,ИСХОДНИК!A:P,6,FALSE())</f>
        <v>4  ÷ 25</v>
      </c>
      <c r="F13" s="181" t="str">
        <f>VLOOKUP(B13,ИСХОДНИК!A:P,10,FALSE())</f>
        <v>R717 и фреоны</v>
      </c>
      <c r="G13" s="138" t="str">
        <f>VLOOKUP(B13,ИСХОДНИК!A:P,8,FALSE())</f>
        <v>28 / 30</v>
      </c>
      <c r="H13" s="137" t="str">
        <f>VLOOKUP(B13,ИСХОДНИК!A:P,9,FALSE())</f>
        <v xml:space="preserve"> -50…120</v>
      </c>
      <c r="I13" s="105" t="str">
        <f>VLOOKUP(B13,ИСХОДНИК!A:P,15,FALSE())</f>
        <v>U6 PL40R</v>
      </c>
      <c r="J13" s="139">
        <f>VLOOKUP(B13,ИСХОДНИК!A:P,13,FALSE())</f>
        <v>179400</v>
      </c>
      <c r="K13" s="139">
        <f>VLOOKUP(B13,ИСХОДНИК!A:P,14,FALSE())</f>
        <v>208104</v>
      </c>
      <c r="L13" s="140" t="str">
        <f>IF(VLOOKUP(B13,ИСХОДНИК!A:R,18,FALSE())=1,ИСХОДНИК!$T$2,IF(VLOOKUP(B13,ИСХОДНИК!A:R,18,FALSE())=2,ИСХОДНИК!$T$5,IF(VLOOKUP(B13,ИСХОДНИК!A:R,18,FALSE())=3,ИСХОДНИК!$T$6)))</f>
        <v>●</v>
      </c>
    </row>
    <row r="14" spans="1:12" ht="22.5" customHeight="1">
      <c r="B14" s="97" t="s">
        <v>635</v>
      </c>
      <c r="C14" s="98" t="str">
        <f>VLOOKUP(B14,ИСХОДНИК!A:P,5,FALSE())</f>
        <v xml:space="preserve">CVP-H </v>
      </c>
      <c r="D14" s="137" t="str">
        <f>VLOOKUP(B14,ИСХОДНИК!A:P,11,FALSE())</f>
        <v>Резьба M24х1,5</v>
      </c>
      <c r="E14" s="137" t="str">
        <f>VLOOKUP(B14,ИСХОДНИК!A:P,6,FALSE())</f>
        <v>10 ÷ 52</v>
      </c>
      <c r="F14" s="181" t="str">
        <f>VLOOKUP(B14,ИСХОДНИК!A:P,10,FALSE())</f>
        <v>R717, R744 и фреоны</v>
      </c>
      <c r="G14" s="138">
        <f>VLOOKUP(B14,ИСХОДНИК!A:P,8,FALSE())</f>
        <v>52</v>
      </c>
      <c r="H14" s="137" t="str">
        <f>VLOOKUP(B14,ИСХОДНИК!A:P,9,FALSE())</f>
        <v xml:space="preserve"> -50…120</v>
      </c>
      <c r="I14" s="105" t="str">
        <f>VLOOKUP(B14,ИСХОДНИК!A:P,15,FALSE())</f>
        <v>U6 PL40R</v>
      </c>
      <c r="J14" s="139">
        <f>VLOOKUP(B14,ИСХОДНИК!A:P,13,FALSE())</f>
        <v>294000</v>
      </c>
      <c r="K14" s="139">
        <f>VLOOKUP(B14,ИСХОДНИК!A:P,14,FALSE())</f>
        <v>341040</v>
      </c>
      <c r="L14" s="104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2" ht="22.5" customHeight="1">
      <c r="B15" s="504" t="s">
        <v>636</v>
      </c>
      <c r="C15" s="504"/>
      <c r="D15" s="504"/>
      <c r="E15" s="504"/>
      <c r="F15" s="504"/>
      <c r="G15" s="504"/>
      <c r="H15" s="504"/>
      <c r="I15" s="504"/>
      <c r="J15" s="504"/>
      <c r="K15" s="504"/>
      <c r="L15" s="504"/>
    </row>
    <row r="16" spans="1:12" ht="22.5" customHeight="1">
      <c r="B16" s="97" t="s">
        <v>637</v>
      </c>
      <c r="C16" s="98" t="str">
        <f>VLOOKUP(B16,ИСХОДНИК!A:P,5,FALSE())</f>
        <v>CVPP</v>
      </c>
      <c r="D16" s="137" t="str">
        <f>VLOOKUP(B16,ИСХОДНИК!A:P,11,FALSE())</f>
        <v>Резьба M24х1,5</v>
      </c>
      <c r="E16" s="137" t="str">
        <f>VLOOKUP(B16,ИСХОДНИК!A:P,6,FALSE())</f>
        <v>0 ÷ 10</v>
      </c>
      <c r="F16" s="137" t="str">
        <f>VLOOKUP(B16,ИСХОДНИК!A:P,10,FALSE())</f>
        <v>R717 и фреоны</v>
      </c>
      <c r="G16" s="138" t="str">
        <f>VLOOKUP(B16,ИСХОДНИК!A:P,8,FALSE())</f>
        <v>28 / 30</v>
      </c>
      <c r="H16" s="137" t="str">
        <f>VLOOKUP(B16,ИСХОДНИК!A:P,9,FALSE())</f>
        <v xml:space="preserve"> -50…120</v>
      </c>
      <c r="I16" s="105" t="str">
        <f>VLOOKUP(B16,ИСХОДНИК!A:P,15,FALSE())</f>
        <v>U6 PL40R</v>
      </c>
      <c r="J16" s="139">
        <f>VLOOKUP(B16,ИСХОДНИК!A:P,13,FALSE())</f>
        <v>204000</v>
      </c>
      <c r="K16" s="139">
        <f>VLOOKUP(B16,ИСХОДНИК!A:P,14,FALSE())</f>
        <v>236639.99999999997</v>
      </c>
      <c r="L16" s="104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3" ht="22.5" customHeight="1">
      <c r="B17" s="504" t="s">
        <v>638</v>
      </c>
      <c r="C17" s="504"/>
      <c r="D17" s="504"/>
      <c r="E17" s="504"/>
      <c r="F17" s="504"/>
      <c r="G17" s="504"/>
      <c r="H17" s="504"/>
      <c r="I17" s="504"/>
      <c r="J17" s="504"/>
      <c r="K17" s="504"/>
      <c r="L17" s="504"/>
    </row>
    <row r="18" spans="2:13" ht="22.5" customHeight="1">
      <c r="B18" s="97" t="s">
        <v>639</v>
      </c>
      <c r="C18" s="98" t="str">
        <f>VLOOKUP(B18,ИСХОДНИК!A:P,5,FALSE())</f>
        <v>CVC</v>
      </c>
      <c r="D18" s="137" t="str">
        <f>VLOOKUP(B18,ИСХОДНИК!A:P,11,FALSE())</f>
        <v>Резьба M24х1,5</v>
      </c>
      <c r="E18" s="137" t="str">
        <f>VLOOKUP(B18,ИСХОДНИК!A:P,6,FALSE())</f>
        <v>0  ÷ 15</v>
      </c>
      <c r="F18" s="137" t="str">
        <f>VLOOKUP(B18,ИСХОДНИК!A:P,10,FALSE())</f>
        <v>R717 и фреоны</v>
      </c>
      <c r="G18" s="138" t="str">
        <f>VLOOKUP(B18,ИСХОДНИК!A:P,8,FALSE())</f>
        <v>28 / 30</v>
      </c>
      <c r="H18" s="137" t="str">
        <f>VLOOKUP(B18,ИСХОДНИК!A:P,9,FALSE())</f>
        <v xml:space="preserve"> -50…120</v>
      </c>
      <c r="I18" s="105" t="str">
        <f>VLOOKUP(B18,ИСХОДНИК!A:P,15,FALSE())</f>
        <v>U6 PL40R</v>
      </c>
      <c r="J18" s="139">
        <f>VLOOKUP(B18,ИСХОДНИК!A:P,13,FALSE())</f>
        <v>252000</v>
      </c>
      <c r="K18" s="139">
        <f>VLOOKUP(B18,ИСХОДНИК!A:P,14,FALSE())</f>
        <v>292320</v>
      </c>
      <c r="L18" s="104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3" ht="22.5" customHeight="1">
      <c r="B19" s="504" t="s">
        <v>640</v>
      </c>
      <c r="C19" s="504"/>
      <c r="D19" s="504"/>
      <c r="E19" s="504"/>
      <c r="F19" s="504"/>
      <c r="G19" s="504"/>
      <c r="H19" s="504"/>
      <c r="I19" s="504"/>
      <c r="J19" s="504"/>
      <c r="K19" s="504"/>
      <c r="L19" s="504"/>
    </row>
    <row r="20" spans="2:13" ht="29.25" customHeight="1">
      <c r="B20" s="97" t="s">
        <v>600</v>
      </c>
      <c r="C20" s="98" t="str">
        <f>VLOOKUP(B20,ИСХОДНИК!A:P,5,FALSE())</f>
        <v>EVM-NC</v>
      </c>
      <c r="D20" s="137" t="str">
        <f>VLOOKUP(B20,ИСХОДНИК!A:P,11,FALSE())</f>
        <v>Резьба M24х1,5</v>
      </c>
      <c r="E20" s="137" t="str">
        <f>VLOOKUP(B20,ИСХОДНИК!A:P,6,FALSE())</f>
        <v xml:space="preserve">нормально закрытый </v>
      </c>
      <c r="F20" s="137" t="str">
        <f>VLOOKUP(B20,ИСХОДНИК!A:P,10,FALSE())</f>
        <v>R717, R744 и фреоны</v>
      </c>
      <c r="G20" s="138">
        <f>VLOOKUP(B20,ИСХОДНИК!A:P,8,FALSE())</f>
        <v>52</v>
      </c>
      <c r="H20" s="137" t="str">
        <f>VLOOKUP(B20,ИСХОДНИК!A:P,9,FALSE())</f>
        <v xml:space="preserve"> -50…120</v>
      </c>
      <c r="I20" s="105" t="str">
        <f>VLOOKUP(B20,ИСХОДНИК!A:P,15,FALSE())</f>
        <v>U6 PL40R</v>
      </c>
      <c r="J20" s="139">
        <f>VLOOKUP(B20,ИСХОДНИК!A:P,13,FALSE())</f>
        <v>57000</v>
      </c>
      <c r="K20" s="139">
        <f>VLOOKUP(B20,ИСХОДНИК!A:P,14,FALSE())</f>
        <v>66120</v>
      </c>
      <c r="L20" s="104" t="str">
        <f>IF(VLOOKUP(B20,ИСХОДНИК!A:R,18,FALSE())=1,ИСХОДНИК!$T$2,IF(VLOOKUP(B20,ИСХОДНИК!A:R,18,FALSE())=2,ИСХОДНИК!$T$5,IF(VLOOKUP(B20,ИСХОДНИК!A:R,18,FALSE())=3,ИСХОДНИК!$T$6)))</f>
        <v>◑</v>
      </c>
      <c r="M20" s="28"/>
    </row>
    <row r="21" spans="2:13" ht="29.25" customHeight="1">
      <c r="B21" s="299" t="s">
        <v>601</v>
      </c>
      <c r="C21" s="98" t="str">
        <f>VLOOKUP(B21,ИСХОДНИК!A:P,5,FALSE())</f>
        <v>EVM-NO</v>
      </c>
      <c r="D21" s="137" t="str">
        <f>VLOOKUP(B21,ИСХОДНИК!A:P,11,FALSE())</f>
        <v>Резьба M24х1,5</v>
      </c>
      <c r="E21" s="137" t="str">
        <f>VLOOKUP(B21,ИСХОДНИК!A:P,6,FALSE())</f>
        <v>нормально открытый</v>
      </c>
      <c r="F21" s="137" t="str">
        <f>VLOOKUP(B21,ИСХОДНИК!A:P,10,FALSE())</f>
        <v>R717, R744 и фреоны</v>
      </c>
      <c r="G21" s="138">
        <f>VLOOKUP(B21,ИСХОДНИК!A:P,8,FALSE())</f>
        <v>52</v>
      </c>
      <c r="H21" s="137" t="str">
        <f>VLOOKUP(B21,ИСХОДНИК!A:P,9,FALSE())</f>
        <v xml:space="preserve"> -50…120</v>
      </c>
      <c r="I21" s="105" t="str">
        <f>VLOOKUP(B21,ИСХОДНИК!A:P,15,FALSE())</f>
        <v>U6 PL40R</v>
      </c>
      <c r="J21" s="139">
        <f>VLOOKUP(B21,ИСХОДНИК!A:P,13,FALSE())</f>
        <v>168000</v>
      </c>
      <c r="K21" s="139">
        <f>VLOOKUP(B21,ИСХОДНИК!A:P,14,FALSE())</f>
        <v>194880</v>
      </c>
      <c r="L21" s="104" t="str">
        <f>IF(VLOOKUP(B21,ИСХОДНИК!A:R,18,FALSE())=1,ИСХОДНИК!$T$2,IF(VLOOKUP(B21,ИСХОДНИК!A:R,18,FALSE())=2,ИСХОДНИК!$T$5,IF(VLOOKUP(B21,ИСХОДНИК!A:R,18,FALSE())=3,ИСХОДНИК!$T$6)))</f>
        <v>◑</v>
      </c>
      <c r="M21" s="28"/>
    </row>
    <row r="22" spans="2:13" ht="23.25" customHeight="1">
      <c r="B22" s="363" t="s">
        <v>641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06"/>
    </row>
    <row r="23" spans="2:13" ht="40.5">
      <c r="B23" s="208" t="s">
        <v>72</v>
      </c>
      <c r="C23" s="208" t="s">
        <v>90</v>
      </c>
      <c r="D23" s="208" t="s">
        <v>91</v>
      </c>
      <c r="E23" s="208" t="s">
        <v>81</v>
      </c>
      <c r="F23" s="95" t="s">
        <v>84</v>
      </c>
      <c r="G23" s="95" t="s">
        <v>82</v>
      </c>
      <c r="H23" s="95" t="s">
        <v>83</v>
      </c>
      <c r="I23" s="208" t="s">
        <v>67</v>
      </c>
      <c r="J23" s="94" t="s">
        <v>74</v>
      </c>
      <c r="K23" s="94" t="s">
        <v>75</v>
      </c>
      <c r="L23" s="242" t="s">
        <v>55</v>
      </c>
    </row>
    <row r="24" spans="2:13" ht="27">
      <c r="B24" s="97" t="s">
        <v>642</v>
      </c>
      <c r="C24" s="98" t="str">
        <f>VLOOKUP(B24,ИСХОДНИК!A:P,5,FALSE())</f>
        <v>CVH 10</v>
      </c>
      <c r="D24" s="134" t="str">
        <f>VLOOKUP(B24,ИСХОДНИК!A:P,11,FALSE())</f>
        <v>Фланец. Ответные фланцы под сварку DIN</v>
      </c>
      <c r="E24" s="105">
        <f>VLOOKUP(B24,ИСХОДНИК!A:P,7,FALSE())</f>
        <v>10</v>
      </c>
      <c r="F24" s="137" t="str">
        <f>VLOOKUP(B24,ИСХОДНИК!A:P,10,FALSE())</f>
        <v>R717 и фреоны</v>
      </c>
      <c r="G24" s="181" t="str">
        <f>VLOOKUP(B24,ИСХОДНИК!A:P,8,FALSE())</f>
        <v>28 / 30</v>
      </c>
      <c r="H24" s="105" t="str">
        <f>VLOOKUP(B24,ИСХОДНИК!A:P,9,FALSE())</f>
        <v xml:space="preserve"> -50…120</v>
      </c>
      <c r="I24" s="105" t="str">
        <f>VLOOKUP(B24,ИСХОДНИК!A:P,15,FALSE())</f>
        <v>U6 PL40R</v>
      </c>
      <c r="J24" s="139">
        <f>VLOOKUP(B24,ИСХОДНИК!A:P,13,FALSE())</f>
        <v>84000</v>
      </c>
      <c r="K24" s="139">
        <f>VLOOKUP(B24,ИСХОДНИК!A:P,14,FALSE())</f>
        <v>97440</v>
      </c>
      <c r="L24" s="140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13" ht="27">
      <c r="B25" s="97" t="s">
        <v>643</v>
      </c>
      <c r="C25" s="98" t="str">
        <f>VLOOKUP(B25,ИСХОДНИК!A:P,5,FALSE())</f>
        <v>CVH 15</v>
      </c>
      <c r="D25" s="134" t="str">
        <f>VLOOKUP(B25,ИСХОДНИК!A:P,11,FALSE())</f>
        <v>Фланец. Ответные фланцы под сварку DIN</v>
      </c>
      <c r="E25" s="105">
        <f>VLOOKUP(B25,ИСХОДНИК!A:P,7,FALSE())</f>
        <v>15</v>
      </c>
      <c r="F25" s="137" t="str">
        <f>VLOOKUP(B25,ИСХОДНИК!A:P,10,FALSE())</f>
        <v>R717 и фреоны</v>
      </c>
      <c r="G25" s="181" t="str">
        <f>VLOOKUP(B25,ИСХОДНИК!A:P,8,FALSE())</f>
        <v>28 / 30</v>
      </c>
      <c r="H25" s="105" t="str">
        <f>VLOOKUP(B25,ИСХОДНИК!A:P,9,FALSE())</f>
        <v xml:space="preserve"> -50…120</v>
      </c>
      <c r="I25" s="105" t="str">
        <f>VLOOKUP(B25,ИСХОДНИК!A:P,15,FALSE())</f>
        <v>U6 PL40R</v>
      </c>
      <c r="J25" s="139">
        <f>VLOOKUP(B25,ИСХОДНИК!A:P,13,FALSE())</f>
        <v>84000</v>
      </c>
      <c r="K25" s="139">
        <f>VLOOKUP(B25,ИСХОДНИК!A:P,14,FALSE())</f>
        <v>97440</v>
      </c>
      <c r="L25" s="140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13" ht="27">
      <c r="B26" s="97" t="s">
        <v>644</v>
      </c>
      <c r="C26" s="98" t="str">
        <f>VLOOKUP(B26,ИСХОДНИК!A:P,5,FALSE())</f>
        <v>CVH 20</v>
      </c>
      <c r="D26" s="134" t="str">
        <f>VLOOKUP(B26,ИСХОДНИК!A:P,11,FALSE())</f>
        <v>Фланец. Ответные фланцы под сварку DIN</v>
      </c>
      <c r="E26" s="105">
        <f>VLOOKUP(B26,ИСХОДНИК!A:P,7,FALSE())</f>
        <v>20</v>
      </c>
      <c r="F26" s="137" t="str">
        <f>VLOOKUP(B26,ИСХОДНИК!A:P,10,FALSE())</f>
        <v>R717 и фреоны</v>
      </c>
      <c r="G26" s="181" t="str">
        <f>VLOOKUP(B26,ИСХОДНИК!A:P,8,FALSE())</f>
        <v>28 / 30</v>
      </c>
      <c r="H26" s="105" t="str">
        <f>VLOOKUP(B26,ИСХОДНИК!A:P,9,FALSE())</f>
        <v xml:space="preserve"> -50…120</v>
      </c>
      <c r="I26" s="105" t="str">
        <f>VLOOKUP(B26,ИСХОДНИК!A:P,15,FALSE())</f>
        <v>U6 PL40R</v>
      </c>
      <c r="J26" s="139">
        <f>VLOOKUP(B26,ИСХОДНИК!A:P,13,FALSE())</f>
        <v>84000</v>
      </c>
      <c r="K26" s="139">
        <f>VLOOKUP(B26,ИСХОДНИК!A:P,14,FALSE())</f>
        <v>97440</v>
      </c>
      <c r="L26" s="140" t="str">
        <f>IF(VLOOKUP(B26,ИСХОДНИК!A:R,18,FALSE())=1,ИСХОДНИК!$T$2,IF(VLOOKUP(B26,ИСХОДНИК!A:R,18,FALSE())=2,ИСХОДНИК!$T$5,IF(VLOOKUP(B26,ИСХОДНИК!A:R,18,FALSE())=3,ИСХОДНИК!$T$6)))</f>
        <v>○</v>
      </c>
      <c r="M26" s="28"/>
    </row>
    <row r="27" spans="2:13" ht="23.25" customHeight="1">
      <c r="B27" s="559" t="s">
        <v>626</v>
      </c>
      <c r="C27" s="559"/>
      <c r="D27" s="559"/>
      <c r="E27" s="559"/>
      <c r="F27" s="559"/>
      <c r="G27" s="559"/>
      <c r="H27" s="559"/>
      <c r="I27" s="559"/>
      <c r="J27" s="559"/>
      <c r="K27" s="559"/>
      <c r="L27" s="559"/>
      <c r="M27" s="364"/>
    </row>
    <row r="28" spans="2:13" ht="23.25" customHeight="1">
      <c r="B28" s="339" t="s">
        <v>129</v>
      </c>
      <c r="C28" s="28"/>
      <c r="D28" s="28"/>
      <c r="E28" s="28"/>
      <c r="F28" s="28"/>
      <c r="G28" s="28"/>
      <c r="H28" s="28"/>
      <c r="I28" s="28"/>
      <c r="J28" s="28"/>
      <c r="K28" s="28"/>
      <c r="L28" s="121"/>
    </row>
    <row r="29" spans="2:13" ht="39.5">
      <c r="B29" s="95" t="s">
        <v>72</v>
      </c>
      <c r="C29" s="95" t="s">
        <v>90</v>
      </c>
      <c r="D29" s="95" t="s">
        <v>130</v>
      </c>
      <c r="E29" s="95" t="s">
        <v>131</v>
      </c>
      <c r="F29" s="95" t="s">
        <v>132</v>
      </c>
      <c r="G29" s="95" t="s">
        <v>133</v>
      </c>
      <c r="H29" s="95" t="s">
        <v>134</v>
      </c>
      <c r="I29" s="95" t="s">
        <v>67</v>
      </c>
      <c r="J29" s="94" t="s">
        <v>74</v>
      </c>
      <c r="K29" s="94" t="s">
        <v>75</v>
      </c>
      <c r="L29" s="242" t="s">
        <v>55</v>
      </c>
    </row>
    <row r="30" spans="2:13" ht="20.25" customHeight="1">
      <c r="B30" s="153" t="s">
        <v>137</v>
      </c>
      <c r="C30" s="98" t="str">
        <f>VLOOKUP(B30,ИСХОДНИК!A:P,5,FALSE())</f>
        <v>BE230AS</v>
      </c>
      <c r="D30" s="105">
        <v>220</v>
      </c>
      <c r="E30" s="105">
        <v>50</v>
      </c>
      <c r="F30" s="105" t="s">
        <v>138</v>
      </c>
      <c r="G30" s="105">
        <v>10</v>
      </c>
      <c r="H30" s="105" t="s">
        <v>139</v>
      </c>
      <c r="I30" s="105" t="str">
        <f>VLOOKUP(B30,ИСХОДНИК!A:P,15,FALSE())</f>
        <v>U6 PL40R</v>
      </c>
      <c r="J30" s="139">
        <f>VLOOKUP(B30,ИСХОДНИК!A:P,13,FALSE())</f>
        <v>21000</v>
      </c>
      <c r="K30" s="139">
        <f>VLOOKUP(B30,ИСХОДНИК!A:P,14,FALSE())</f>
        <v>24360</v>
      </c>
      <c r="L30" s="140" t="str">
        <f>IF(VLOOKUP(B30,ИСХОДНИК!A:R,18,FALSE())=1,ИСХОДНИК!$T$2,IF(VLOOKUP(B30,ИСХОДНИК!A:R,18,FALSE())=2,ИСХОДНИК!$T$5,IF(VLOOKUP(B26,ИСХОДНИК!A:R,18,FALSE())=3,ИСХОДНИК!$T$6)))</f>
        <v>●</v>
      </c>
    </row>
    <row r="31" spans="2:13" ht="20.25" customHeight="1">
      <c r="B31" s="153" t="s">
        <v>140</v>
      </c>
      <c r="C31" s="98" t="str">
        <f>VLOOKUP(B31,ИСХОДНИК!A:P,5,FALSE())</f>
        <v>BE024AS</v>
      </c>
      <c r="D31" s="105">
        <v>24</v>
      </c>
      <c r="E31" s="105">
        <v>50</v>
      </c>
      <c r="F31" s="105" t="s">
        <v>138</v>
      </c>
      <c r="G31" s="105">
        <v>10</v>
      </c>
      <c r="H31" s="105" t="s">
        <v>139</v>
      </c>
      <c r="I31" s="105" t="str">
        <f>VLOOKUP(B31,ИСХОДНИК!A:P,15,FALSE())</f>
        <v>U6 PL40R</v>
      </c>
      <c r="J31" s="139">
        <f>VLOOKUP(B31,ИСХОДНИК!A:P,13,FALSE())</f>
        <v>27000</v>
      </c>
      <c r="K31" s="139">
        <f>VLOOKUP(B31,ИСХОДНИК!A:P,14,FALSE())</f>
        <v>31319.999999999996</v>
      </c>
      <c r="L31" s="140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13" ht="20.25" customHeight="1">
      <c r="B32" s="153" t="s">
        <v>141</v>
      </c>
      <c r="C32" s="98" t="str">
        <f>VLOOKUP(B32,ИСХОДНИК!A:P,5,FALSE())</f>
        <v>BN230AS</v>
      </c>
      <c r="D32" s="105">
        <v>220</v>
      </c>
      <c r="E32" s="105">
        <v>50</v>
      </c>
      <c r="F32" s="105" t="s">
        <v>138</v>
      </c>
      <c r="G32" s="105">
        <v>18</v>
      </c>
      <c r="H32" s="105" t="s">
        <v>142</v>
      </c>
      <c r="I32" s="105" t="str">
        <f>VLOOKUP(B32,ИСХОДНИК!A:P,15,FALSE())</f>
        <v>U6 PL40R</v>
      </c>
      <c r="J32" s="139">
        <f>VLOOKUP(B32,ИСХОДНИК!A:P,13,FALSE())</f>
        <v>35400</v>
      </c>
      <c r="K32" s="139">
        <f>VLOOKUP(B32,ИСХОДНИК!A:P,14,FALSE())</f>
        <v>41064</v>
      </c>
      <c r="L32" s="104" t="str">
        <f>IF(VLOOKUP(B32,ИСХОДНИК!A:R,18,FALSE())=1,ИСХОДНИК!$T$2,IF(VLOOKUP(B32,ИСХОДНИК!A:R,18,FALSE())=2,ИСХОДНИК!$T$5,IF(VLOOKUP(B27,ИСХОДНИК!A:R,18,FALSE())=3,ИСХОДНИК!$T$6)))</f>
        <v>◑</v>
      </c>
    </row>
    <row r="34" spans="2:12" ht="13.5">
      <c r="B34" s="560" t="s">
        <v>645</v>
      </c>
      <c r="C34" s="560"/>
      <c r="D34" s="560"/>
      <c r="E34" s="560"/>
      <c r="F34" s="560"/>
      <c r="G34" s="560"/>
      <c r="H34" s="560"/>
      <c r="I34" s="560"/>
      <c r="J34" s="560"/>
      <c r="K34" s="560"/>
      <c r="L34" s="560"/>
    </row>
    <row r="35" spans="2:12" ht="27.75" customHeight="1">
      <c r="B35" s="561" t="s">
        <v>646</v>
      </c>
      <c r="C35" s="561"/>
      <c r="D35" s="561"/>
      <c r="E35" s="561"/>
      <c r="F35" s="365" t="s">
        <v>647</v>
      </c>
      <c r="G35" s="366"/>
      <c r="H35" s="562" t="s">
        <v>648</v>
      </c>
      <c r="I35" s="562"/>
      <c r="J35" s="563"/>
      <c r="K35" s="563"/>
      <c r="L35" s="563"/>
    </row>
    <row r="36" spans="2:12" ht="145.5" customHeight="1">
      <c r="B36" s="367"/>
      <c r="C36" s="368"/>
      <c r="D36" s="368"/>
      <c r="E36" s="369"/>
      <c r="F36" s="368"/>
      <c r="G36" s="368"/>
      <c r="H36" s="564"/>
      <c r="I36" s="564"/>
      <c r="J36" s="564"/>
      <c r="K36" s="564"/>
      <c r="L36" s="564"/>
    </row>
    <row r="37" spans="2:12" ht="35" customHeight="1">
      <c r="B37" s="237" t="s">
        <v>72</v>
      </c>
      <c r="C37" s="517" t="s">
        <v>365</v>
      </c>
      <c r="D37" s="517"/>
      <c r="E37" s="517"/>
      <c r="F37" s="517"/>
      <c r="G37" s="517"/>
      <c r="H37" s="208" t="s">
        <v>201</v>
      </c>
      <c r="I37" s="237" t="s">
        <v>67</v>
      </c>
      <c r="J37" s="94" t="s">
        <v>74</v>
      </c>
      <c r="K37" s="94" t="s">
        <v>75</v>
      </c>
      <c r="L37" s="301" t="s">
        <v>55</v>
      </c>
    </row>
    <row r="38" spans="2:12" ht="32.25" customHeight="1">
      <c r="B38" s="97" t="s">
        <v>649</v>
      </c>
      <c r="C38" s="508" t="str">
        <f>VLOOKUP(B38,ИСХОДНИК!A:P,3,FALSE())</f>
        <v>Ревизионные набор прокладок для клапанов СVP, CVC,CVPP, EVM. Мультипак: 10 комплектов.</v>
      </c>
      <c r="D38" s="508"/>
      <c r="E38" s="508"/>
      <c r="F38" s="508"/>
      <c r="G38" s="508"/>
      <c r="H38" s="105" t="s">
        <v>650</v>
      </c>
      <c r="I38" s="105" t="str">
        <f>VLOOKUP(B38,ИСХОДНИК!A:P,15,FALSE())</f>
        <v>U6 PL40R</v>
      </c>
      <c r="J38" s="139">
        <f>VLOOKUP(B38,ИСХОДНИК!A:P,13,FALSE())</f>
        <v>22200</v>
      </c>
      <c r="K38" s="139">
        <f>VLOOKUP(B38,ИСХОДНИК!A:P,14,FALSE())</f>
        <v>25752</v>
      </c>
      <c r="L38" s="140" t="str">
        <f>IF(VLOOKUP(B30,ИСХОДНИК!A:R,18,FALSE())=1,ИСХОДНИК!$T$2,IF(VLOOKUP(B30,ИСХОДНИК!A:R,18,FALSE())=2,ИСХОДНИК!$T$5,IF(VLOOKUP(B26,ИСХОДНИК!A:R,18,FALSE())=3,ИСХОДНИК!$T$6)))</f>
        <v>●</v>
      </c>
    </row>
    <row r="39" spans="2:12" ht="32.25" customHeight="1">
      <c r="B39" s="97" t="s">
        <v>503</v>
      </c>
      <c r="C39" s="508" t="str">
        <f>VLOOKUP(B39,ИСХОДНИК!A:P,3,FALSE())</f>
        <v>Ремонтный комплект сердечника для клапанов EVM-NC и EVRA. Мультипак 5 комплектов.</v>
      </c>
      <c r="D39" s="508"/>
      <c r="E39" s="508"/>
      <c r="F39" s="508"/>
      <c r="G39" s="508"/>
      <c r="H39" s="105">
        <v>3</v>
      </c>
      <c r="I39" s="105" t="str">
        <f>VLOOKUP(B39,ИСХОДНИК!A:P,15,FALSE())</f>
        <v>U6 PL40R</v>
      </c>
      <c r="J39" s="139">
        <f>VLOOKUP(B39,ИСХОДНИК!A:P,13,FALSE())</f>
        <v>90000</v>
      </c>
      <c r="K39" s="139">
        <f>VLOOKUP(B39,ИСХОДНИК!A:P,14,FALSE())</f>
        <v>104400</v>
      </c>
      <c r="L39" s="370" t="str">
        <f>IF(VLOOKUP(B32,ИСХОДНИК!A:R,18,FALSE())=1,ИСХОДНИК!$T$2,IF(VLOOKUP(B32,ИСХОДНИК!A:R,18,FALSE())=2,ИСХОДНИК!$T$5,IF(VLOOKUP(B27,ИСХОДНИК!A:R,18,FALSE())=3,ИСХОДНИК!$T$6)))</f>
        <v>◑</v>
      </c>
    </row>
    <row r="40" spans="2:12" ht="32.25" customHeight="1">
      <c r="B40" s="97" t="s">
        <v>651</v>
      </c>
      <c r="C40" s="508" t="str">
        <f>VLOOKUP(B40,ИСХОДНИК!A:P,3,FALSE())</f>
        <v>Колпачок с прокладкой для SNV, CVP, CVC, CVPP</v>
      </c>
      <c r="D40" s="508"/>
      <c r="E40" s="508"/>
      <c r="F40" s="508"/>
      <c r="G40" s="508"/>
      <c r="H40" s="105" t="s">
        <v>652</v>
      </c>
      <c r="I40" s="105" t="str">
        <f>VLOOKUP(B40,ИСХОДНИК!A:P,15,FALSE())</f>
        <v>U6 PL40R</v>
      </c>
      <c r="J40" s="139">
        <f>VLOOKUP(B40,ИСХОДНИК!A:P,13,FALSE())</f>
        <v>11400</v>
      </c>
      <c r="K40" s="139">
        <f>VLOOKUP(B40,ИСХОДНИК!A:P,14,FALSE())</f>
        <v>13223.999999999998</v>
      </c>
      <c r="L40" s="370" t="str">
        <f>IF(VLOOKUP(B40,ИСХОДНИК!A:R,18,FALSE())=1,ИСХОДНИК!$T$2,IF(VLOOKUP(B40,ИСХОДНИК!A:R,18,FALSE())=2,ИСХОДНИК!$T$5,IF(VLOOKUP(B28,ИСХОДНИК!A:R,18,FALSE())=3,ИСХОДНИК!$T$6)))</f>
        <v>◑</v>
      </c>
    </row>
  </sheetData>
  <autoFilter ref="B11:L11" xr:uid="{00000000-0009-0000-0000-00000F000000}"/>
  <mergeCells count="16">
    <mergeCell ref="H36:L36"/>
    <mergeCell ref="C37:G37"/>
    <mergeCell ref="C38:G38"/>
    <mergeCell ref="C39:G39"/>
    <mergeCell ref="C40:G40"/>
    <mergeCell ref="B19:L19"/>
    <mergeCell ref="B27:L27"/>
    <mergeCell ref="B34:L34"/>
    <mergeCell ref="B35:E35"/>
    <mergeCell ref="H35:I35"/>
    <mergeCell ref="J35:L35"/>
    <mergeCell ref="B3:F3"/>
    <mergeCell ref="B10:H10"/>
    <mergeCell ref="I10:L10"/>
    <mergeCell ref="B15:L15"/>
    <mergeCell ref="B17:L17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5"/>
  <sheetViews>
    <sheetView showGridLines="0" topLeftCell="C1" zoomScaleNormal="100" workbookViewId="0">
      <selection activeCell="K12" sqref="K12"/>
    </sheetView>
  </sheetViews>
  <sheetFormatPr defaultColWidth="9.1796875" defaultRowHeight="12.75" customHeight="1"/>
  <cols>
    <col min="1" max="1" width="2.1796875" customWidth="1"/>
    <col min="2" max="2" width="15.81640625" style="216" customWidth="1"/>
    <col min="3" max="3" width="16.1796875" customWidth="1"/>
    <col min="4" max="4" width="13.1796875" hidden="1" customWidth="1"/>
    <col min="5" max="5" width="23.453125" customWidth="1"/>
    <col min="7" max="7" width="23.1796875" customWidth="1"/>
    <col min="8" max="8" width="11.1796875" customWidth="1"/>
    <col min="9" max="9" width="17.453125" customWidth="1"/>
    <col min="10" max="10" width="12.1796875" customWidth="1"/>
    <col min="11" max="11" width="13" customWidth="1"/>
    <col min="12" max="12" width="11.1796875" customWidth="1"/>
    <col min="13" max="13" width="4.453125" customWidth="1"/>
  </cols>
  <sheetData>
    <row r="1" spans="1:13" ht="11.25" customHeight="1"/>
    <row r="2" spans="1:13" ht="42" customHeight="1">
      <c r="B2" s="213" t="s">
        <v>653</v>
      </c>
      <c r="C2" s="110"/>
      <c r="D2" s="217"/>
      <c r="E2" s="217"/>
      <c r="F2" s="217"/>
      <c r="G2" s="217"/>
      <c r="H2" s="217"/>
      <c r="I2" s="217"/>
      <c r="J2" s="217"/>
      <c r="K2" s="217"/>
      <c r="L2" s="217"/>
      <c r="M2" s="218"/>
    </row>
    <row r="3" spans="1:13" ht="45.75" customHeight="1">
      <c r="B3" s="491" t="s">
        <v>654</v>
      </c>
      <c r="C3" s="491"/>
      <c r="D3" s="491"/>
      <c r="E3" s="491"/>
      <c r="F3" s="491"/>
      <c r="G3" s="491"/>
      <c r="H3" s="491"/>
      <c r="I3" s="113"/>
      <c r="J3" s="113"/>
      <c r="K3" s="113"/>
      <c r="L3" s="113"/>
      <c r="M3" s="114"/>
    </row>
    <row r="4" spans="1:13" ht="10.5" customHeight="1">
      <c r="B4" s="76" t="s">
        <v>58</v>
      </c>
      <c r="C4" s="115" t="s">
        <v>59</v>
      </c>
      <c r="D4" s="163"/>
      <c r="E4" s="164"/>
      <c r="F4" s="116"/>
      <c r="G4" s="116"/>
      <c r="H4" s="371"/>
      <c r="I4" s="113"/>
      <c r="J4" s="113"/>
      <c r="K4" s="113"/>
      <c r="L4" s="113"/>
      <c r="M4" s="114"/>
    </row>
    <row r="5" spans="1:13" ht="10.5" customHeight="1">
      <c r="B5" s="78" t="s">
        <v>61</v>
      </c>
      <c r="C5" s="115" t="s">
        <v>62</v>
      </c>
      <c r="D5" s="163"/>
      <c r="E5" s="164"/>
      <c r="F5" s="116"/>
      <c r="G5" s="116"/>
      <c r="H5" s="371"/>
      <c r="I5" s="113"/>
      <c r="J5" s="113"/>
      <c r="K5" s="113"/>
      <c r="L5" s="113"/>
      <c r="M5" s="114"/>
    </row>
    <row r="6" spans="1:13" ht="10.5" customHeight="1">
      <c r="B6" s="80" t="s">
        <v>65</v>
      </c>
      <c r="C6" s="115" t="s">
        <v>66</v>
      </c>
      <c r="D6" s="163"/>
      <c r="E6" s="164"/>
      <c r="F6" s="116"/>
      <c r="G6" s="116"/>
      <c r="H6" s="371"/>
      <c r="I6" s="113"/>
      <c r="J6" s="113"/>
      <c r="K6" s="113"/>
      <c r="L6" s="113"/>
      <c r="M6" s="114"/>
    </row>
    <row r="7" spans="1:13" ht="10.5" customHeight="1">
      <c r="B7" s="80"/>
      <c r="C7" s="115"/>
      <c r="D7" s="163"/>
      <c r="E7" s="164"/>
      <c r="F7" s="116"/>
      <c r="G7" s="116"/>
      <c r="H7" s="371"/>
      <c r="I7" s="113"/>
      <c r="J7" s="113"/>
      <c r="K7" s="113"/>
      <c r="L7" s="113"/>
      <c r="M7" s="114"/>
    </row>
    <row r="8" spans="1:13" s="372" customFormat="1" ht="15" customHeight="1">
      <c r="B8" s="118"/>
      <c r="C8" s="119"/>
      <c r="D8" s="119"/>
      <c r="E8" s="119"/>
      <c r="F8" s="120"/>
      <c r="G8" s="120"/>
      <c r="H8" s="113"/>
      <c r="I8" s="113"/>
      <c r="J8" s="113"/>
      <c r="K8" s="113"/>
      <c r="L8" s="113"/>
      <c r="M8" s="114"/>
    </row>
    <row r="9" spans="1:13" s="372" customFormat="1" ht="15" customHeight="1">
      <c r="A9" s="373"/>
      <c r="B9" s="122"/>
      <c r="C9" s="74"/>
      <c r="D9" s="74"/>
      <c r="E9" s="74"/>
      <c r="F9" s="123"/>
      <c r="G9" s="123"/>
      <c r="H9" s="113"/>
      <c r="I9" s="113"/>
      <c r="J9" s="113"/>
      <c r="K9" s="113"/>
      <c r="L9" s="113"/>
      <c r="M9" s="114"/>
    </row>
    <row r="10" spans="1:13" ht="11.25" customHeight="1">
      <c r="B10" s="260"/>
      <c r="C10" s="125"/>
      <c r="D10" s="125"/>
      <c r="E10" s="125"/>
      <c r="F10" s="125"/>
      <c r="G10" s="125"/>
      <c r="H10" s="125"/>
      <c r="I10" s="125"/>
      <c r="J10" s="492"/>
      <c r="K10" s="492"/>
      <c r="L10" s="492"/>
      <c r="M10" s="492"/>
    </row>
    <row r="11" spans="1:13" ht="47.25" customHeight="1">
      <c r="B11" s="95" t="s">
        <v>72</v>
      </c>
      <c r="C11" s="95" t="s">
        <v>90</v>
      </c>
      <c r="D11" s="95" t="s">
        <v>150</v>
      </c>
      <c r="E11" s="95" t="s">
        <v>91</v>
      </c>
      <c r="F11" s="95" t="s">
        <v>81</v>
      </c>
      <c r="G11" s="95" t="s">
        <v>84</v>
      </c>
      <c r="H11" s="95" t="s">
        <v>82</v>
      </c>
      <c r="I11" s="95" t="s">
        <v>83</v>
      </c>
      <c r="J11" s="208" t="s">
        <v>67</v>
      </c>
      <c r="K11" s="94" t="s">
        <v>74</v>
      </c>
      <c r="L11" s="94" t="s">
        <v>75</v>
      </c>
      <c r="M11" s="242" t="s">
        <v>55</v>
      </c>
    </row>
    <row r="12" spans="1:13" ht="22.5" customHeight="1">
      <c r="B12" s="97" t="s">
        <v>655</v>
      </c>
      <c r="C12" s="105" t="str">
        <f>VLOOKUP(B12,ИСХОДНИК!A:P,5,FALSE())</f>
        <v>OFV 20</v>
      </c>
      <c r="D12" s="105" t="str">
        <f>VLOOKUP(B12,ИСХОДНИК!A:P,6,FALSE())</f>
        <v>Угловой</v>
      </c>
      <c r="E12" s="134" t="str">
        <f>VLOOKUP(B12,ИСХОДНИК!A:P,11,FALSE())</f>
        <v>Под сварку встык DIN</v>
      </c>
      <c r="F12" s="105">
        <f>VLOOKUP(B12,ИСХОДНИК!A:P,7,FALSE())</f>
        <v>20</v>
      </c>
      <c r="G12" s="137" t="str">
        <f>VLOOKUP(B12,ИСХОДНИК!A:P,10,FALSE())</f>
        <v>R717, R744 и фреоны</v>
      </c>
      <c r="H12" s="137">
        <f>VLOOKUP(B12,ИСХОДНИК!A:P,8,FALSE())</f>
        <v>52</v>
      </c>
      <c r="I12" s="181" t="str">
        <f>VLOOKUP(B12,ИСХОДНИК!A:P,9,FALSE())</f>
        <v xml:space="preserve"> -60…120</v>
      </c>
      <c r="J12" s="105" t="str">
        <f>VLOOKUP(B12,ИСХОДНИК!A:P,15,FALSE())</f>
        <v>U6 PL40R</v>
      </c>
      <c r="K12" s="139">
        <f>VLOOKUP(B12,ИСХОДНИК!A:P,13,FALSE())</f>
        <v>120000</v>
      </c>
      <c r="L12" s="139">
        <f>VLOOKUP(B12,ИСХОДНИК!A:P,14,FALSE())</f>
        <v>139200</v>
      </c>
      <c r="M12" s="104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3" ht="22.5" customHeight="1">
      <c r="B13" s="97" t="s">
        <v>656</v>
      </c>
      <c r="C13" s="105" t="str">
        <f>VLOOKUP(B13,ИСХОДНИК!A:P,5,FALSE())</f>
        <v>OFV 25</v>
      </c>
      <c r="D13" s="105" t="str">
        <f>VLOOKUP(B13,ИСХОДНИК!A:P,6,FALSE())</f>
        <v>Угловой</v>
      </c>
      <c r="E13" s="134" t="str">
        <f>VLOOKUP(B13,ИСХОДНИК!A:P,11,FALSE())</f>
        <v>Под сварку встык DIN</v>
      </c>
      <c r="F13" s="105">
        <f>VLOOKUP(B13,ИСХОДНИК!A:P,7,FALSE())</f>
        <v>25</v>
      </c>
      <c r="G13" s="137" t="str">
        <f>VLOOKUP(B13,ИСХОДНИК!A:P,10,FALSE())</f>
        <v>R717, R744 и фреоны</v>
      </c>
      <c r="H13" s="137">
        <f>VLOOKUP(B13,ИСХОДНИК!A:P,8,FALSE())</f>
        <v>52</v>
      </c>
      <c r="I13" s="181" t="str">
        <f>VLOOKUP(B13,ИСХОДНИК!A:P,9,FALSE())</f>
        <v xml:space="preserve"> -60…120</v>
      </c>
      <c r="J13" s="105" t="str">
        <f>VLOOKUP(B13,ИСХОДНИК!A:P,15,FALSE())</f>
        <v>U6 PL40R</v>
      </c>
      <c r="K13" s="139">
        <f>VLOOKUP(B13,ИСХОДНИК!A:P,13,FALSE())</f>
        <v>126000</v>
      </c>
      <c r="L13" s="139">
        <f>VLOOKUP(B13,ИСХОДНИК!A:P,14,FALSE())</f>
        <v>146160</v>
      </c>
      <c r="M13" s="104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3" ht="22.5" customHeight="1">
      <c r="B14" s="97" t="s">
        <v>657</v>
      </c>
      <c r="C14" s="105" t="str">
        <f>VLOOKUP(B14,ИСХОДНИК!A:P,5,FALSE())</f>
        <v>OFV 32</v>
      </c>
      <c r="D14" s="105" t="str">
        <f>VLOOKUP(B14,ИСХОДНИК!A:P,6,FALSE())</f>
        <v>Угловой</v>
      </c>
      <c r="E14" s="134" t="str">
        <f>VLOOKUP(B14,ИСХОДНИК!A:P,11,FALSE())</f>
        <v>Под сварку встык DIN</v>
      </c>
      <c r="F14" s="105">
        <f>VLOOKUP(B14,ИСХОДНИК!A:P,7,FALSE())</f>
        <v>32</v>
      </c>
      <c r="G14" s="137" t="str">
        <f>VLOOKUP(B14,ИСХОДНИК!A:P,10,FALSE())</f>
        <v>R717, R744 и фреоны</v>
      </c>
      <c r="H14" s="137">
        <f>VLOOKUP(B14,ИСХОДНИК!A:P,8,FALSE())</f>
        <v>52</v>
      </c>
      <c r="I14" s="181" t="str">
        <f>VLOOKUP(B14,ИСХОДНИК!A:P,9,FALSE())</f>
        <v xml:space="preserve"> -60…120</v>
      </c>
      <c r="J14" s="105" t="str">
        <f>VLOOKUP(B14,ИСХОДНИК!A:P,15,FALSE())</f>
        <v>U6 PL40R</v>
      </c>
      <c r="K14" s="139">
        <f>VLOOKUP(B14,ИСХОДНИК!A:P,13,FALSE())</f>
        <v>195000</v>
      </c>
      <c r="L14" s="139">
        <f>VLOOKUP(B14,ИСХОДНИК!A:P,14,FALSE())</f>
        <v>226199.99999999997</v>
      </c>
      <c r="M14" s="104" t="str">
        <f>IF(VLOOKUP(B14,ИСХОДНИК!A:R,18,FALSE())=1,ИСХОДНИК!$T$2,IF(VLOOKUP(B14,ИСХОДНИК!A:R,18,FALSE())=2,ИСХОДНИК!$T$5,IF(VLOOKUP(B14,ИСХОДНИК!A:R,18,FALSE())=3,ИСХОДНИК!$T$6)))</f>
        <v>○</v>
      </c>
    </row>
    <row r="15" spans="1:13" ht="22.5" customHeight="1">
      <c r="B15" s="97" t="s">
        <v>658</v>
      </c>
      <c r="C15" s="105" t="str">
        <f>VLOOKUP(B15,ИСХОДНИК!A:P,5,FALSE())</f>
        <v>OFV 40</v>
      </c>
      <c r="D15" s="105" t="str">
        <f>VLOOKUP(B15,ИСХОДНИК!A:P,6,FALSE())</f>
        <v>Угловой</v>
      </c>
      <c r="E15" s="134" t="str">
        <f>VLOOKUP(B15,ИСХОДНИК!A:P,11,FALSE())</f>
        <v>Под сварку встык DIN</v>
      </c>
      <c r="F15" s="105">
        <f>VLOOKUP(B15,ИСХОДНИК!A:P,7,FALSE())</f>
        <v>40</v>
      </c>
      <c r="G15" s="137" t="str">
        <f>VLOOKUP(B15,ИСХОДНИК!A:P,10,FALSE())</f>
        <v>R717, R744 и фреоны</v>
      </c>
      <c r="H15" s="137">
        <f>VLOOKUP(B15,ИСХОДНИК!A:P,8,FALSE())</f>
        <v>52</v>
      </c>
      <c r="I15" s="181" t="str">
        <f>VLOOKUP(B15,ИСХОДНИК!A:P,9,FALSE())</f>
        <v xml:space="preserve"> -60…120</v>
      </c>
      <c r="J15" s="105" t="str">
        <f>VLOOKUP(B15,ИСХОДНИК!A:P,15,FALSE())</f>
        <v>U6 PL40R</v>
      </c>
      <c r="K15" s="139">
        <f>VLOOKUP(B15,ИСХОДНИК!A:P,13,FALSE())</f>
        <v>198000</v>
      </c>
      <c r="L15" s="139">
        <f>VLOOKUP(B15,ИСХОДНИК!A:P,14,FALSE())</f>
        <v>229679.99999999997</v>
      </c>
      <c r="M15" s="104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</sheetData>
  <autoFilter ref="B11:M11" xr:uid="{00000000-0009-0000-0000-000010000000}"/>
  <mergeCells count="2">
    <mergeCell ref="B3:H3"/>
    <mergeCell ref="J10:M10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5"/>
  <sheetViews>
    <sheetView showGridLines="0" topLeftCell="C1" zoomScaleNormal="100" workbookViewId="0">
      <selection activeCell="J43" sqref="J43"/>
    </sheetView>
  </sheetViews>
  <sheetFormatPr defaultColWidth="9.1796875" defaultRowHeight="12" customHeight="1"/>
  <cols>
    <col min="1" max="1" width="2.1796875" style="107" customWidth="1"/>
    <col min="2" max="2" width="13.54296875" style="108" customWidth="1"/>
    <col min="3" max="3" width="31.1796875" style="107" customWidth="1"/>
    <col min="4" max="4" width="22.7265625" style="107" customWidth="1"/>
    <col min="5" max="5" width="9.1796875" style="107"/>
    <col min="6" max="6" width="20.453125" style="107" customWidth="1"/>
    <col min="7" max="7" width="8.7265625" style="107" customWidth="1"/>
    <col min="8" max="8" width="17.453125" style="107" customWidth="1"/>
    <col min="9" max="9" width="12.1796875" style="107" customWidth="1"/>
    <col min="10" max="10" width="11.1796875" style="107" customWidth="1"/>
    <col min="11" max="11" width="12" style="107" customWidth="1"/>
    <col min="12" max="12" width="4.54296875" style="107" customWidth="1"/>
    <col min="13" max="15" width="9.1796875" style="107"/>
    <col min="16" max="16" width="11.7265625" style="107" customWidth="1"/>
    <col min="17" max="17" width="11.1796875" style="107" customWidth="1"/>
    <col min="18" max="16384" width="9.1796875" style="107"/>
  </cols>
  <sheetData>
    <row r="1" spans="2:20" ht="10.5" customHeight="1"/>
    <row r="2" spans="2:20" ht="42" customHeight="1">
      <c r="B2" s="213" t="s">
        <v>659</v>
      </c>
      <c r="C2" s="110"/>
      <c r="D2" s="110"/>
      <c r="E2" s="110"/>
      <c r="F2" s="110"/>
      <c r="G2" s="110"/>
      <c r="H2" s="110"/>
      <c r="I2" s="110"/>
      <c r="J2" s="110"/>
      <c r="K2" s="110"/>
      <c r="L2" s="111"/>
      <c r="N2" s="497" t="s">
        <v>505</v>
      </c>
      <c r="O2" s="497"/>
      <c r="P2" s="497"/>
      <c r="Q2" s="497"/>
      <c r="R2" s="497"/>
      <c r="S2" s="497"/>
      <c r="T2" s="497"/>
    </row>
    <row r="3" spans="2:20" ht="51" customHeight="1">
      <c r="B3" s="491" t="s">
        <v>660</v>
      </c>
      <c r="C3" s="491"/>
      <c r="D3" s="491"/>
      <c r="E3" s="491"/>
      <c r="F3" s="491"/>
      <c r="G3" s="491"/>
      <c r="H3" s="113"/>
      <c r="I3" s="113"/>
      <c r="J3" s="113"/>
      <c r="K3" s="113"/>
      <c r="L3" s="114"/>
      <c r="N3" s="31"/>
      <c r="O3" s="30"/>
      <c r="P3" s="537"/>
      <c r="Q3" s="537"/>
      <c r="R3" s="30"/>
      <c r="S3" s="30"/>
      <c r="T3" s="29"/>
    </row>
    <row r="4" spans="2:20" ht="9.75" customHeight="1">
      <c r="B4" s="76" t="s">
        <v>58</v>
      </c>
      <c r="C4" s="115" t="s">
        <v>59</v>
      </c>
      <c r="D4" s="163"/>
      <c r="E4" s="164"/>
      <c r="F4" s="116"/>
      <c r="G4" s="116"/>
      <c r="H4" s="113"/>
      <c r="I4" s="113"/>
      <c r="J4" s="113"/>
      <c r="K4" s="113"/>
      <c r="L4" s="114"/>
      <c r="N4" s="31"/>
      <c r="O4" s="30"/>
      <c r="P4" s="30"/>
      <c r="Q4" s="30"/>
      <c r="R4" s="30"/>
      <c r="S4" s="30"/>
      <c r="T4" s="29"/>
    </row>
    <row r="5" spans="2:20" ht="10.5" customHeight="1">
      <c r="B5" s="78" t="s">
        <v>61</v>
      </c>
      <c r="C5" s="115" t="s">
        <v>62</v>
      </c>
      <c r="D5" s="163"/>
      <c r="E5" s="164"/>
      <c r="F5" s="116"/>
      <c r="G5" s="116"/>
      <c r="H5" s="113"/>
      <c r="I5" s="113"/>
      <c r="J5" s="113"/>
      <c r="K5" s="113"/>
      <c r="L5" s="114"/>
      <c r="N5" s="31"/>
      <c r="O5" s="30"/>
      <c r="P5" s="30"/>
      <c r="Q5" s="30"/>
      <c r="R5" s="30"/>
      <c r="S5" s="30"/>
      <c r="T5" s="29"/>
    </row>
    <row r="6" spans="2:20" ht="10.5" customHeight="1">
      <c r="B6" s="80" t="s">
        <v>65</v>
      </c>
      <c r="C6" s="115" t="s">
        <v>66</v>
      </c>
      <c r="D6" s="163"/>
      <c r="E6" s="164"/>
      <c r="F6" s="116"/>
      <c r="G6" s="116"/>
      <c r="H6" s="113"/>
      <c r="I6" s="113"/>
      <c r="J6" s="113"/>
      <c r="K6" s="113"/>
      <c r="L6" s="114"/>
      <c r="N6" s="31"/>
      <c r="O6" s="30"/>
      <c r="P6" s="30"/>
      <c r="Q6" s="30"/>
      <c r="R6" s="30"/>
      <c r="S6" s="30"/>
      <c r="T6" s="29"/>
    </row>
    <row r="7" spans="2:20" ht="10.5" customHeight="1">
      <c r="B7" s="80"/>
      <c r="C7" s="115"/>
      <c r="D7" s="163"/>
      <c r="E7" s="164"/>
      <c r="F7" s="116"/>
      <c r="G7" s="116"/>
      <c r="H7" s="113"/>
      <c r="I7" s="113"/>
      <c r="J7" s="113"/>
      <c r="K7" s="113"/>
      <c r="L7" s="114"/>
      <c r="N7" s="31"/>
      <c r="O7" s="30"/>
      <c r="P7" s="30"/>
      <c r="Q7" s="30"/>
      <c r="R7" s="30"/>
      <c r="S7" s="30"/>
      <c r="T7" s="29"/>
    </row>
    <row r="8" spans="2:20" ht="15" customHeight="1">
      <c r="B8" s="118"/>
      <c r="C8" s="119"/>
      <c r="D8" s="119"/>
      <c r="E8" s="119"/>
      <c r="F8" s="120"/>
      <c r="G8" s="120"/>
      <c r="H8" s="112"/>
      <c r="I8" s="259"/>
      <c r="J8" s="226"/>
      <c r="K8" s="226"/>
      <c r="L8" s="374"/>
      <c r="N8" s="167"/>
      <c r="O8" s="168"/>
      <c r="P8" s="30"/>
      <c r="Q8" s="30"/>
      <c r="R8" s="538"/>
      <c r="S8" s="538"/>
      <c r="T8" s="538"/>
    </row>
    <row r="9" spans="2:20" ht="15" customHeight="1">
      <c r="B9" s="118"/>
      <c r="C9" s="74"/>
      <c r="D9" s="74"/>
      <c r="E9" s="74"/>
      <c r="F9" s="123"/>
      <c r="G9" s="123"/>
      <c r="H9" s="112"/>
      <c r="I9" s="259"/>
      <c r="J9" s="226"/>
      <c r="K9" s="226"/>
      <c r="L9" s="374"/>
      <c r="N9" s="169"/>
      <c r="O9" s="170"/>
      <c r="P9" s="539"/>
      <c r="Q9" s="539"/>
      <c r="R9" s="540"/>
      <c r="S9" s="540"/>
      <c r="T9" s="540"/>
    </row>
    <row r="10" spans="2:20" ht="18" customHeight="1">
      <c r="B10" s="558" t="s">
        <v>661</v>
      </c>
      <c r="C10" s="558"/>
      <c r="D10" s="558"/>
      <c r="E10" s="558"/>
      <c r="F10" s="558"/>
      <c r="G10" s="558"/>
      <c r="H10" s="558"/>
      <c r="I10" s="492"/>
      <c r="J10" s="492"/>
      <c r="K10" s="492"/>
      <c r="L10" s="492"/>
      <c r="N10" s="542" t="s">
        <v>147</v>
      </c>
      <c r="O10" s="542" t="s">
        <v>81</v>
      </c>
      <c r="P10" s="543" t="s">
        <v>508</v>
      </c>
      <c r="Q10" s="543"/>
      <c r="R10" s="544" t="s">
        <v>509</v>
      </c>
      <c r="S10" s="544"/>
      <c r="T10" s="544"/>
    </row>
    <row r="11" spans="2:20" ht="40.5">
      <c r="B11" s="95" t="s">
        <v>72</v>
      </c>
      <c r="C11" s="95" t="s">
        <v>90</v>
      </c>
      <c r="D11" s="95" t="s">
        <v>91</v>
      </c>
      <c r="E11" s="95" t="s">
        <v>81</v>
      </c>
      <c r="F11" s="95" t="s">
        <v>84</v>
      </c>
      <c r="G11" s="95" t="s">
        <v>82</v>
      </c>
      <c r="H11" s="95" t="s">
        <v>83</v>
      </c>
      <c r="I11" s="94" t="s">
        <v>67</v>
      </c>
      <c r="J11" s="94" t="s">
        <v>74</v>
      </c>
      <c r="K11" s="94" t="s">
        <v>75</v>
      </c>
      <c r="L11" s="133" t="s">
        <v>55</v>
      </c>
      <c r="N11" s="542"/>
      <c r="O11" s="542"/>
      <c r="P11" s="284" t="s">
        <v>151</v>
      </c>
      <c r="Q11" s="178" t="s">
        <v>152</v>
      </c>
      <c r="R11" s="285" t="s">
        <v>510</v>
      </c>
      <c r="S11" s="283" t="s">
        <v>152</v>
      </c>
      <c r="T11" s="283" t="s">
        <v>511</v>
      </c>
    </row>
    <row r="12" spans="2:20" ht="30" customHeight="1">
      <c r="B12" s="153" t="s">
        <v>662</v>
      </c>
      <c r="C12" s="196" t="str">
        <f>VLOOKUP(B12,ИСХОДНИК!A:P,5,FALSE())</f>
        <v>ORV 25 D с термостатом 49⁰С</v>
      </c>
      <c r="D12" s="197" t="str">
        <f>VLOOKUP(B12,ИСХОДНИК!A:P,11,FALSE())</f>
        <v>Под сварку встык DIN</v>
      </c>
      <c r="E12" s="182">
        <f>VLOOKUP(B12,ИСХОДНИК!A:P,7,FALSE())</f>
        <v>25</v>
      </c>
      <c r="F12" s="181" t="str">
        <f>VLOOKUP(B12,ИСХОДНИК!A:P,10,FALSE())</f>
        <v xml:space="preserve">Холодильные масла </v>
      </c>
      <c r="G12" s="181">
        <f>VLOOKUP(B12,ИСХОДНИК!A:P,8,FALSE())</f>
        <v>52</v>
      </c>
      <c r="H12" s="181" t="str">
        <f>VLOOKUP(B12,ИСХОДНИК!A:P,9,FALSE())</f>
        <v xml:space="preserve"> -10…85</v>
      </c>
      <c r="I12" s="182" t="str">
        <f>VLOOKUP(B12,ИСХОДНИК!A:P,15,FALSE())</f>
        <v>U6 PL40R</v>
      </c>
      <c r="J12" s="243">
        <f>VLOOKUP(B12,ИСХОДНИК!A:N,13,FALSE())</f>
        <v>351000</v>
      </c>
      <c r="K12" s="243">
        <f>VLOOKUP(B12,ИСХОДНИК!A:N,14,FALSE())</f>
        <v>407160</v>
      </c>
      <c r="L12" s="198" t="str">
        <f>IF(VLOOKUP(B12,ИСХОДНИК!A:R,18,FALSE())=1,ИСХОДНИК!$T$2,IF(VLOOKUP(B12,ИСХОДНИК!A:R,18,FALSE())=2,ИСХОДНИК!$T$5,IF(VLOOKUP(B12,ИСХОДНИК!A:R,18,FALSE())=3,ИСХОДНИК!$T$6)))</f>
        <v>○</v>
      </c>
      <c r="N12" s="105">
        <v>1</v>
      </c>
      <c r="O12" s="105">
        <v>25</v>
      </c>
      <c r="P12" s="184">
        <v>33.700000000000003</v>
      </c>
      <c r="Q12" s="184">
        <v>2.6</v>
      </c>
      <c r="R12" s="286">
        <v>28.08</v>
      </c>
      <c r="S12" s="286">
        <v>4</v>
      </c>
      <c r="T12" s="286">
        <v>12</v>
      </c>
    </row>
    <row r="13" spans="2:20" ht="30" customHeight="1">
      <c r="B13" s="97" t="s">
        <v>663</v>
      </c>
      <c r="C13" s="196" t="str">
        <f>VLOOKUP(B13,ИСХОДНИК!A:P,5,FALSE())</f>
        <v>ORV 25 D с термостатом 60⁰С</v>
      </c>
      <c r="D13" s="134" t="str">
        <f>VLOOKUP(B13,ИСХОДНИК!A:P,11,FALSE())</f>
        <v>Под сварку встык DIN</v>
      </c>
      <c r="E13" s="182">
        <f>VLOOKUP(B13,ИСХОДНИК!A:P,7,FALSE())</f>
        <v>25</v>
      </c>
      <c r="F13" s="137" t="str">
        <f>VLOOKUP(B13,ИСХОДНИК!A:P,10,FALSE())</f>
        <v xml:space="preserve">Холодильные масла </v>
      </c>
      <c r="G13" s="137">
        <f>VLOOKUP(B13,ИСХОДНИК!A:P,8,FALSE())</f>
        <v>52</v>
      </c>
      <c r="H13" s="181" t="str">
        <f>VLOOKUP(B13,ИСХОДНИК!A:P,9,FALSE())</f>
        <v xml:space="preserve"> -10…85</v>
      </c>
      <c r="I13" s="182" t="str">
        <f>VLOOKUP(B13,ИСХОДНИК!A:P,15,FALSE())</f>
        <v>U6 PL40R</v>
      </c>
      <c r="J13" s="139">
        <f>VLOOKUP(B13,ИСХОДНИК!A:N,13,FALSE())</f>
        <v>351000</v>
      </c>
      <c r="K13" s="139">
        <f>VLOOKUP(B13,ИСХОДНИК!A:N,14,FALSE())</f>
        <v>407160</v>
      </c>
      <c r="L13" s="198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N13" s="105">
        <v>2</v>
      </c>
      <c r="O13" s="105">
        <v>32</v>
      </c>
      <c r="P13" s="184">
        <v>42.4</v>
      </c>
      <c r="Q13" s="184">
        <v>2.6</v>
      </c>
      <c r="R13" s="286">
        <v>35.07</v>
      </c>
      <c r="S13" s="286">
        <v>5</v>
      </c>
      <c r="T13" s="286">
        <v>12</v>
      </c>
    </row>
    <row r="14" spans="2:20" ht="30" customHeight="1">
      <c r="B14" s="153" t="s">
        <v>664</v>
      </c>
      <c r="C14" s="196" t="str">
        <f>VLOOKUP(B14,ИСХОДНИК!A:P,5,FALSE())</f>
        <v>ORV 25 SD с термостатом 49⁰С</v>
      </c>
      <c r="D14" s="197" t="str">
        <f>VLOOKUP(B14,ИСХОДНИК!A:P,11,FALSE())</f>
        <v xml:space="preserve">Под пайку SD </v>
      </c>
      <c r="E14" s="182">
        <f>VLOOKUP(B14,ИСХОДНИК!A:P,7,FALSE())</f>
        <v>25</v>
      </c>
      <c r="F14" s="181" t="str">
        <f>VLOOKUP(B14,ИСХОДНИК!A:P,10,FALSE())</f>
        <v xml:space="preserve">Холодильные масла </v>
      </c>
      <c r="G14" s="181">
        <f>VLOOKUP(B14,ИСХОДНИК!A:P,8,FALSE())</f>
        <v>52</v>
      </c>
      <c r="H14" s="181" t="str">
        <f>VLOOKUP(B14,ИСХОДНИК!A:P,9,FALSE())</f>
        <v xml:space="preserve"> -10…85</v>
      </c>
      <c r="I14" s="182" t="str">
        <f>VLOOKUP(B14,ИСХОДНИК!A:P,15,FALSE())</f>
        <v>U6 PL40R</v>
      </c>
      <c r="J14" s="243">
        <f>VLOOKUP(B14,ИСХОДНИК!A:N,13,FALSE())</f>
        <v>351000</v>
      </c>
      <c r="K14" s="243">
        <f>VLOOKUP(B14,ИСХОДНИК!A:N,14,FALSE())</f>
        <v>407160</v>
      </c>
      <c r="L14" s="199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N14" s="105">
        <v>3</v>
      </c>
      <c r="O14" s="105">
        <v>40</v>
      </c>
      <c r="P14" s="184">
        <v>48.3</v>
      </c>
      <c r="Q14" s="184">
        <v>2.6</v>
      </c>
      <c r="R14" s="286">
        <v>42.07</v>
      </c>
      <c r="S14" s="286">
        <v>4.5</v>
      </c>
      <c r="T14" s="286">
        <v>15</v>
      </c>
    </row>
    <row r="15" spans="2:20" ht="30" customHeight="1">
      <c r="B15" s="97" t="s">
        <v>665</v>
      </c>
      <c r="C15" s="196" t="str">
        <f>VLOOKUP(B15,ИСХОДНИК!A:P,5,FALSE())</f>
        <v>ORV 25 SD с термостатом 60⁰С</v>
      </c>
      <c r="D15" s="134" t="str">
        <f>VLOOKUP(B15,ИСХОДНИК!A:P,11,FALSE())</f>
        <v xml:space="preserve">Под пайку SD </v>
      </c>
      <c r="E15" s="182">
        <f>VLOOKUP(B15,ИСХОДНИК!A:P,7,FALSE())</f>
        <v>25</v>
      </c>
      <c r="F15" s="137" t="str">
        <f>VLOOKUP(B15,ИСХОДНИК!A:P,10,FALSE())</f>
        <v xml:space="preserve">Холодильные масла </v>
      </c>
      <c r="G15" s="137">
        <f>VLOOKUP(B15,ИСХОДНИК!A:P,8,FALSE())</f>
        <v>52</v>
      </c>
      <c r="H15" s="181" t="str">
        <f>VLOOKUP(B15,ИСХОДНИК!A:P,9,FALSE())</f>
        <v xml:space="preserve"> -10…85</v>
      </c>
      <c r="I15" s="182" t="str">
        <f>VLOOKUP(B15,ИСХОДНИК!A:P,15,FALSE())</f>
        <v>U6 PL40R</v>
      </c>
      <c r="J15" s="139">
        <f>VLOOKUP(B15,ИСХОДНИК!A:N,13,FALSE())</f>
        <v>351000</v>
      </c>
      <c r="K15" s="139">
        <f>VLOOKUP(B15,ИСХОДНИК!A:N,14,FALSE())</f>
        <v>407160</v>
      </c>
      <c r="L15" s="199" t="str">
        <f>IF(VLOOKUP(B15,ИСХОДНИК!A:R,18,FALSE())=1,ИСХОДНИК!$T$2,IF(VLOOKUP(B15,ИСХОДНИК!A:R,18,FALSE())=2,ИСХОДНИК!$T$5,IF(VLOOKUP(B15,ИСХОДНИК!A:R,18,FALSE())=3,ИСХОДНИК!$T$6)))</f>
        <v>◑</v>
      </c>
      <c r="N15" s="105">
        <v>4</v>
      </c>
      <c r="O15" s="105">
        <v>50</v>
      </c>
      <c r="P15" s="184">
        <v>60.3</v>
      </c>
      <c r="Q15" s="184">
        <v>2.9</v>
      </c>
      <c r="R15" s="286">
        <v>54.09</v>
      </c>
      <c r="S15" s="286">
        <v>4.5</v>
      </c>
      <c r="T15" s="286">
        <v>15</v>
      </c>
    </row>
    <row r="16" spans="2:20" ht="30" customHeight="1">
      <c r="B16" s="153" t="s">
        <v>666</v>
      </c>
      <c r="C16" s="196" t="str">
        <f>VLOOKUP(B16,ИСХОДНИК!A:P,5,FALSE())</f>
        <v>ORV 32 D с термостатом 49⁰С</v>
      </c>
      <c r="D16" s="197" t="str">
        <f>VLOOKUP(B16,ИСХОДНИК!A:P,11,FALSE())</f>
        <v>Под сварку встык DIN</v>
      </c>
      <c r="E16" s="182">
        <f>VLOOKUP(B16,ИСХОДНИК!A:P,7,FALSE())</f>
        <v>32</v>
      </c>
      <c r="F16" s="181" t="str">
        <f>VLOOKUP(B16,ИСХОДНИК!A:P,10,FALSE())</f>
        <v xml:space="preserve">Холодильные масла </v>
      </c>
      <c r="G16" s="181">
        <f>VLOOKUP(B16,ИСХОДНИК!A:P,8,FALSE())</f>
        <v>52</v>
      </c>
      <c r="H16" s="181" t="str">
        <f>VLOOKUP(B16,ИСХОДНИК!A:P,9,FALSE())</f>
        <v xml:space="preserve"> -10…85</v>
      </c>
      <c r="I16" s="182" t="str">
        <f>VLOOKUP(B16,ИСХОДНИК!A:P,15,FALSE())</f>
        <v>U6 PL40R</v>
      </c>
      <c r="J16" s="243">
        <f>VLOOKUP(B16,ИСХОДНИК!A:N,13,FALSE())</f>
        <v>369000</v>
      </c>
      <c r="K16" s="243">
        <f>VLOOKUP(B16,ИСХОДНИК!A:N,14,FALSE())</f>
        <v>428039.99999999994</v>
      </c>
      <c r="L16" s="198" t="str">
        <f>IF(VLOOKUP(B16,ИСХОДНИК!A:R,18,FALSE())=1,ИСХОДНИК!$T$2,IF(VLOOKUP(B16,ИСХОДНИК!A:R,18,FALSE())=2,ИСХОДНИК!$T$5,IF(VLOOKUP(B16,ИСХОДНИК!A:R,18,FALSE())=3,ИСХОДНИК!$T$6)))</f>
        <v>○</v>
      </c>
      <c r="N16" s="105">
        <v>5</v>
      </c>
      <c r="O16" s="105">
        <v>65</v>
      </c>
      <c r="P16" s="184">
        <v>76.099999999999994</v>
      </c>
      <c r="Q16" s="184">
        <v>2.9</v>
      </c>
      <c r="R16" s="375">
        <v>76.099999999999994</v>
      </c>
      <c r="S16" s="376">
        <v>4</v>
      </c>
      <c r="T16" s="376">
        <v>20</v>
      </c>
    </row>
    <row r="17" spans="2:20" ht="30" customHeight="1">
      <c r="B17" s="97" t="s">
        <v>667</v>
      </c>
      <c r="C17" s="196" t="str">
        <f>VLOOKUP(B17,ИСХОДНИК!A:P,5,FALSE())</f>
        <v>ORV 32 D с термостатом 60⁰С</v>
      </c>
      <c r="D17" s="134" t="str">
        <f>VLOOKUP(B17,ИСХОДНИК!A:P,11,FALSE())</f>
        <v>Под сварку встык DIN</v>
      </c>
      <c r="E17" s="182">
        <f>VLOOKUP(B17,ИСХОДНИК!A:P,7,FALSE())</f>
        <v>32</v>
      </c>
      <c r="F17" s="137" t="str">
        <f>VLOOKUP(B17,ИСХОДНИК!A:P,10,FALSE())</f>
        <v xml:space="preserve">Холодильные масла </v>
      </c>
      <c r="G17" s="137">
        <f>VLOOKUP(B17,ИСХОДНИК!A:P,8,FALSE())</f>
        <v>52</v>
      </c>
      <c r="H17" s="181" t="str">
        <f>VLOOKUP(B17,ИСХОДНИК!A:P,9,FALSE())</f>
        <v xml:space="preserve"> -10…85</v>
      </c>
      <c r="I17" s="182" t="str">
        <f>VLOOKUP(B17,ИСХОДНИК!A:P,15,FALSE())</f>
        <v>U6 PL40R</v>
      </c>
      <c r="J17" s="139">
        <f>VLOOKUP(B17,ИСХОДНИК!A:N,13,FALSE())</f>
        <v>369000</v>
      </c>
      <c r="K17" s="139">
        <f>VLOOKUP(B17,ИСХОДНИК!A:N,14,FALSE())</f>
        <v>428039.99999999994</v>
      </c>
      <c r="L17" s="198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N17" s="105">
        <v>6</v>
      </c>
      <c r="O17" s="105">
        <v>80</v>
      </c>
      <c r="P17" s="184">
        <v>88.9</v>
      </c>
      <c r="Q17" s="249">
        <v>3.2</v>
      </c>
      <c r="R17" s="377"/>
      <c r="S17" s="378"/>
      <c r="T17" s="379"/>
    </row>
    <row r="18" spans="2:20" ht="30" customHeight="1">
      <c r="B18" s="153" t="s">
        <v>668</v>
      </c>
      <c r="C18" s="196" t="str">
        <f>VLOOKUP(B18,ИСХОДНИК!A:P,5,FALSE())</f>
        <v>ORV 32 SD с термостатом 49⁰С</v>
      </c>
      <c r="D18" s="197" t="str">
        <f>VLOOKUP(B18,ИСХОДНИК!A:P,11,FALSE())</f>
        <v xml:space="preserve">Под пайку SD </v>
      </c>
      <c r="E18" s="182">
        <f>VLOOKUP(B18,ИСХОДНИК!A:P,7,FALSE())</f>
        <v>32</v>
      </c>
      <c r="F18" s="181" t="str">
        <f>VLOOKUP(B18,ИСХОДНИК!A:P,10,FALSE())</f>
        <v xml:space="preserve">Холодильные масла </v>
      </c>
      <c r="G18" s="181">
        <f>VLOOKUP(B18,ИСХОДНИК!A:P,8,FALSE())</f>
        <v>52</v>
      </c>
      <c r="H18" s="181" t="str">
        <f>VLOOKUP(B18,ИСХОДНИК!A:P,9,FALSE())</f>
        <v xml:space="preserve"> -10…85</v>
      </c>
      <c r="I18" s="182" t="str">
        <f>VLOOKUP(B18,ИСХОДНИК!A:P,15,FALSE())</f>
        <v>U6 PL40R</v>
      </c>
      <c r="J18" s="243">
        <f>VLOOKUP(B18,ИСХОДНИК!A:N,13,FALSE())</f>
        <v>369000</v>
      </c>
      <c r="K18" s="243">
        <f>VLOOKUP(B18,ИСХОДНИК!A:N,14,FALSE())</f>
        <v>428039.99999999994</v>
      </c>
      <c r="L18" s="199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N18" s="380"/>
      <c r="O18" s="380"/>
      <c r="P18" s="380"/>
      <c r="Q18" s="380"/>
      <c r="R18" s="380"/>
      <c r="S18" s="380"/>
      <c r="T18" s="380"/>
    </row>
    <row r="19" spans="2:20" ht="30" customHeight="1">
      <c r="B19" s="97" t="s">
        <v>669</v>
      </c>
      <c r="C19" s="196" t="str">
        <f>VLOOKUP(B19,ИСХОДНИК!A:P,5,FALSE())</f>
        <v>ORV 32 SD с термостатом 60⁰С</v>
      </c>
      <c r="D19" s="134" t="str">
        <f>VLOOKUP(B19,ИСХОДНИК!A:P,11,FALSE())</f>
        <v xml:space="preserve">Под пайку SD </v>
      </c>
      <c r="E19" s="182">
        <f>VLOOKUP(B19,ИСХОДНИК!A:P,7,FALSE())</f>
        <v>32</v>
      </c>
      <c r="F19" s="137" t="str">
        <f>VLOOKUP(B19,ИСХОДНИК!A:P,10,FALSE())</f>
        <v xml:space="preserve">Холодильные масла </v>
      </c>
      <c r="G19" s="137">
        <f>VLOOKUP(B19,ИСХОДНИК!A:P,8,FALSE())</f>
        <v>52</v>
      </c>
      <c r="H19" s="181" t="str">
        <f>VLOOKUP(B19,ИСХОДНИК!A:P,9,FALSE())</f>
        <v xml:space="preserve"> -10…85</v>
      </c>
      <c r="I19" s="182" t="str">
        <f>VLOOKUP(B19,ИСХОДНИК!A:P,15,FALSE())</f>
        <v>U6 PL40R</v>
      </c>
      <c r="J19" s="139">
        <f>VLOOKUP(B19,ИСХОДНИК!A:N,13,FALSE())</f>
        <v>369000</v>
      </c>
      <c r="K19" s="139">
        <f>VLOOKUP(B19,ИСХОДНИК!A:N,14,FALSE())</f>
        <v>428039.99999999994</v>
      </c>
      <c r="L19" s="199" t="str">
        <f>IF(VLOOKUP(B19,ИСХОДНИК!A:R,18,FALSE())=1,ИСХОДНИК!$T$2,IF(VLOOKUP(B19,ИСХОДНИК!A:R,18,FALSE())=2,ИСХОДНИК!$T$5,IF(VLOOKUP(B19,ИСХОДНИК!A:R,18,FALSE())=3,ИСХОДНИК!$T$6)))</f>
        <v>◑</v>
      </c>
      <c r="N19" s="380"/>
      <c r="O19" s="380"/>
      <c r="P19" s="380"/>
      <c r="Q19" s="380"/>
      <c r="R19" s="380"/>
      <c r="S19" s="380"/>
      <c r="T19" s="380"/>
    </row>
    <row r="20" spans="2:20" ht="30" customHeight="1">
      <c r="B20" s="153" t="s">
        <v>670</v>
      </c>
      <c r="C20" s="196" t="str">
        <f>VLOOKUP(B20,ИСХОДНИК!A:P,5,FALSE())</f>
        <v>ORV 40 D с термостатом 49⁰С</v>
      </c>
      <c r="D20" s="197" t="str">
        <f>VLOOKUP(B20,ИСХОДНИК!A:P,11,FALSE())</f>
        <v>Под сварку встык DIN</v>
      </c>
      <c r="E20" s="182">
        <f>VLOOKUP(B20,ИСХОДНИК!A:P,7,FALSE())</f>
        <v>40</v>
      </c>
      <c r="F20" s="181" t="str">
        <f>VLOOKUP(B20,ИСХОДНИК!A:P,10,FALSE())</f>
        <v xml:space="preserve">Холодильные масла </v>
      </c>
      <c r="G20" s="181">
        <f>VLOOKUP(B20,ИСХОДНИК!A:P,8,FALSE())</f>
        <v>52</v>
      </c>
      <c r="H20" s="181" t="str">
        <f>VLOOKUP(B20,ИСХОДНИК!A:P,9,FALSE())</f>
        <v xml:space="preserve"> -10…85</v>
      </c>
      <c r="I20" s="182" t="str">
        <f>VLOOKUP(B20,ИСХОДНИК!A:P,15,FALSE())</f>
        <v>U6 PL40R</v>
      </c>
      <c r="J20" s="243">
        <f>VLOOKUP(B20,ИСХОДНИК!A:N,13,FALSE())</f>
        <v>435000</v>
      </c>
      <c r="K20" s="243">
        <f>VLOOKUP(B20,ИСХОДНИК!A:N,14,FALSE())</f>
        <v>504599.99999999994</v>
      </c>
      <c r="L20" s="198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N20" s="380"/>
      <c r="O20" s="380"/>
      <c r="P20" s="380"/>
      <c r="Q20" s="380"/>
      <c r="R20" s="380"/>
      <c r="S20" s="380"/>
      <c r="T20" s="380"/>
    </row>
    <row r="21" spans="2:20" ht="30" customHeight="1">
      <c r="B21" s="97" t="s">
        <v>671</v>
      </c>
      <c r="C21" s="196" t="str">
        <f>VLOOKUP(B21,ИСХОДНИК!A:P,5,FALSE())</f>
        <v>ORV 40 D с термостатом 60⁰С</v>
      </c>
      <c r="D21" s="134" t="str">
        <f>VLOOKUP(B21,ИСХОДНИК!A:P,11,FALSE())</f>
        <v>Под сварку встык DIN</v>
      </c>
      <c r="E21" s="182">
        <f>VLOOKUP(B21,ИСХОДНИК!A:P,7,FALSE())</f>
        <v>40</v>
      </c>
      <c r="F21" s="137" t="str">
        <f>VLOOKUP(B21,ИСХОДНИК!A:P,10,FALSE())</f>
        <v xml:space="preserve">Холодильные масла </v>
      </c>
      <c r="G21" s="137">
        <f>VLOOKUP(B21,ИСХОДНИК!A:P,8,FALSE())</f>
        <v>52</v>
      </c>
      <c r="H21" s="181" t="str">
        <f>VLOOKUP(B21,ИСХОДНИК!A:P,9,FALSE())</f>
        <v xml:space="preserve"> -10…85</v>
      </c>
      <c r="I21" s="182" t="str">
        <f>VLOOKUP(B21,ИСХОДНИК!A:P,15,FALSE())</f>
        <v>U6 PL40R</v>
      </c>
      <c r="J21" s="139">
        <f>VLOOKUP(B21,ИСХОДНИК!A:N,13,FALSE())</f>
        <v>435000</v>
      </c>
      <c r="K21" s="139">
        <f>VLOOKUP(B21,ИСХОДНИК!A:N,14,FALSE())</f>
        <v>504599.99999999994</v>
      </c>
      <c r="L21" s="198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N21" s="380"/>
      <c r="O21" s="380"/>
      <c r="P21" s="380"/>
      <c r="Q21" s="380"/>
      <c r="R21" s="380"/>
      <c r="S21" s="380"/>
      <c r="T21" s="380"/>
    </row>
    <row r="22" spans="2:20" ht="30" customHeight="1">
      <c r="B22" s="153" t="s">
        <v>672</v>
      </c>
      <c r="C22" s="196" t="str">
        <f>VLOOKUP(B22,ИСХОДНИК!A:P,5,FALSE())</f>
        <v>ORV 40 SD с термостатом 49⁰С</v>
      </c>
      <c r="D22" s="197" t="str">
        <f>VLOOKUP(B22,ИСХОДНИК!A:P,11,FALSE())</f>
        <v xml:space="preserve">Под пайку SD </v>
      </c>
      <c r="E22" s="182">
        <f>VLOOKUP(B22,ИСХОДНИК!A:P,7,FALSE())</f>
        <v>40</v>
      </c>
      <c r="F22" s="181" t="str">
        <f>VLOOKUP(B22,ИСХОДНИК!A:P,10,FALSE())</f>
        <v xml:space="preserve">Холодильные масла </v>
      </c>
      <c r="G22" s="181">
        <f>VLOOKUP(B22,ИСХОДНИК!A:P,8,FALSE())</f>
        <v>52</v>
      </c>
      <c r="H22" s="181" t="str">
        <f>VLOOKUP(B22,ИСХОДНИК!A:P,9,FALSE())</f>
        <v xml:space="preserve"> -10…85</v>
      </c>
      <c r="I22" s="182" t="str">
        <f>VLOOKUP(B22,ИСХОДНИК!A:P,15,FALSE())</f>
        <v>U6 PL40R</v>
      </c>
      <c r="J22" s="243">
        <f>VLOOKUP(B22,ИСХОДНИК!A:N,13,FALSE())</f>
        <v>435000</v>
      </c>
      <c r="K22" s="243">
        <f>VLOOKUP(B22,ИСХОДНИК!A:N,14,FALSE())</f>
        <v>504599.99999999994</v>
      </c>
      <c r="L22" s="199" t="str">
        <f>IF(VLOOKUP(B22,ИСХОДНИК!A:R,18,FALSE())=1,ИСХОДНИК!$T$2,IF(VLOOKUP(B22,ИСХОДНИК!A:R,18,FALSE())=2,ИСХОДНИК!$T$5,IF(VLOOKUP(B22,ИСХОДНИК!A:R,18,FALSE())=3,ИСХОДНИК!$T$6)))</f>
        <v>◑</v>
      </c>
    </row>
    <row r="23" spans="2:20" ht="30" customHeight="1">
      <c r="B23" s="97" t="s">
        <v>673</v>
      </c>
      <c r="C23" s="196" t="str">
        <f>VLOOKUP(B23,ИСХОДНИК!A:P,5,FALSE())</f>
        <v>ORV 40 SD с термостатом 60⁰С</v>
      </c>
      <c r="D23" s="134" t="str">
        <f>VLOOKUP(B23,ИСХОДНИК!A:P,11,FALSE())</f>
        <v xml:space="preserve">Под пайку SD </v>
      </c>
      <c r="E23" s="182">
        <f>VLOOKUP(B23,ИСХОДНИК!A:P,7,FALSE())</f>
        <v>40</v>
      </c>
      <c r="F23" s="137" t="str">
        <f>VLOOKUP(B23,ИСХОДНИК!A:P,10,FALSE())</f>
        <v xml:space="preserve">Холодильные масла </v>
      </c>
      <c r="G23" s="137">
        <f>VLOOKUP(B23,ИСХОДНИК!A:P,8,FALSE())</f>
        <v>52</v>
      </c>
      <c r="H23" s="181" t="str">
        <f>VLOOKUP(B23,ИСХОДНИК!A:P,9,FALSE())</f>
        <v xml:space="preserve"> -10…85</v>
      </c>
      <c r="I23" s="182" t="str">
        <f>VLOOKUP(B23,ИСХОДНИК!A:P,15,FALSE())</f>
        <v>U6 PL40R</v>
      </c>
      <c r="J23" s="139">
        <f>VLOOKUP(B23,ИСХОДНИК!A:N,13,FALSE())</f>
        <v>435000</v>
      </c>
      <c r="K23" s="139">
        <f>VLOOKUP(B23,ИСХОДНИК!A:N,14,FALSE())</f>
        <v>504599.99999999994</v>
      </c>
      <c r="L23" s="199" t="str">
        <f>IF(VLOOKUP(B23,ИСХОДНИК!A:R,18,FALSE())=1,ИСХОДНИК!$T$2,IF(VLOOKUP(B23,ИСХОДНИК!A:R,18,FALSE())=2,ИСХОДНИК!$T$5,IF(VLOOKUP(B23,ИСХОДНИК!A:R,18,FALSE())=3,ИСХОДНИК!$T$6)))</f>
        <v>◑</v>
      </c>
    </row>
    <row r="24" spans="2:20" ht="24.5">
      <c r="B24" s="153" t="s">
        <v>674</v>
      </c>
      <c r="C24" s="196" t="str">
        <f>VLOOKUP(B24,ИСХОДНИК!A:P,5,FALSE())</f>
        <v>ORV 50 D с термостатом 49⁰С</v>
      </c>
      <c r="D24" s="197" t="str">
        <f>VLOOKUP(B24,ИСХОДНИК!A:P,11,FALSE())</f>
        <v>Под сварку встык DIN</v>
      </c>
      <c r="E24" s="182">
        <f>VLOOKUP(B24,ИСХОДНИК!A:P,7,FALSE())</f>
        <v>50</v>
      </c>
      <c r="F24" s="181" t="str">
        <f>VLOOKUP(B24,ИСХОДНИК!A:P,10,FALSE())</f>
        <v xml:space="preserve">Холодильные масла </v>
      </c>
      <c r="G24" s="181">
        <f>VLOOKUP(B24,ИСХОДНИК!A:P,8,FALSE())</f>
        <v>52</v>
      </c>
      <c r="H24" s="181" t="str">
        <f>VLOOKUP(B24,ИСХОДНИК!A:P,9,FALSE())</f>
        <v xml:space="preserve"> -10…85</v>
      </c>
      <c r="I24" s="182" t="str">
        <f>VLOOKUP(B24,ИСХОДНИК!A:P,15,FALSE())</f>
        <v>U6 PL40R</v>
      </c>
      <c r="J24" s="243">
        <f>VLOOKUP(B24,ИСХОДНИК!A:N,13,FALSE())</f>
        <v>477000</v>
      </c>
      <c r="K24" s="243">
        <f>VLOOKUP(B24,ИСХОДНИК!A:N,14,FALSE())</f>
        <v>553320</v>
      </c>
      <c r="L24" s="198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20" ht="30" customHeight="1">
      <c r="B25" s="97" t="s">
        <v>675</v>
      </c>
      <c r="C25" s="196" t="str">
        <f>VLOOKUP(B25,ИСХОДНИК!A:P,5,FALSE())</f>
        <v>ORV 50 D с термостатом 60⁰С</v>
      </c>
      <c r="D25" s="134" t="str">
        <f>VLOOKUP(B25,ИСХОДНИК!A:P,11,FALSE())</f>
        <v>Под сварку встык DIN</v>
      </c>
      <c r="E25" s="182">
        <f>VLOOKUP(B25,ИСХОДНИК!A:P,7,FALSE())</f>
        <v>50</v>
      </c>
      <c r="F25" s="137" t="str">
        <f>VLOOKUP(B25,ИСХОДНИК!A:P,10,FALSE())</f>
        <v xml:space="preserve">Холодильные масла </v>
      </c>
      <c r="G25" s="137">
        <f>VLOOKUP(B25,ИСХОДНИК!A:P,8,FALSE())</f>
        <v>52</v>
      </c>
      <c r="H25" s="181" t="str">
        <f>VLOOKUP(B25,ИСХОДНИК!A:P,9,FALSE())</f>
        <v xml:space="preserve"> -10…85</v>
      </c>
      <c r="I25" s="182" t="str">
        <f>VLOOKUP(B25,ИСХОДНИК!A:P,15,FALSE())</f>
        <v>U6 PL40R</v>
      </c>
      <c r="J25" s="139">
        <f>VLOOKUP(B25,ИСХОДНИК!A:N,13,FALSE())</f>
        <v>477000</v>
      </c>
      <c r="K25" s="139">
        <f>VLOOKUP(B25,ИСХОДНИК!A:N,14,FALSE())</f>
        <v>553320</v>
      </c>
      <c r="L25" s="198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20" ht="30" customHeight="1">
      <c r="B26" s="153" t="s">
        <v>676</v>
      </c>
      <c r="C26" s="196" t="str">
        <f>VLOOKUP(B26,ИСХОДНИК!A:P,5,FALSE())</f>
        <v>ORV 50 SD с термостатом 49⁰С</v>
      </c>
      <c r="D26" s="197" t="str">
        <f>VLOOKUP(B26,ИСХОДНИК!A:P,11,FALSE())</f>
        <v xml:space="preserve">Под пайку SD </v>
      </c>
      <c r="E26" s="182">
        <f>VLOOKUP(B26,ИСХОДНИК!A:P,7,FALSE())</f>
        <v>50</v>
      </c>
      <c r="F26" s="181" t="str">
        <f>VLOOKUP(B26,ИСХОДНИК!A:P,10,FALSE())</f>
        <v xml:space="preserve">Холодильные масла </v>
      </c>
      <c r="G26" s="181">
        <f>VLOOKUP(B26,ИСХОДНИК!A:P,8,FALSE())</f>
        <v>52</v>
      </c>
      <c r="H26" s="181" t="str">
        <f>VLOOKUP(B26,ИСХОДНИК!A:P,9,FALSE())</f>
        <v xml:space="preserve"> -10…85</v>
      </c>
      <c r="I26" s="182" t="str">
        <f>VLOOKUP(B26,ИСХОДНИК!A:P,15,FALSE())</f>
        <v>U6 PL40R</v>
      </c>
      <c r="J26" s="243">
        <f>VLOOKUP(B26,ИСХОДНИК!A:N,13,FALSE())</f>
        <v>477000</v>
      </c>
      <c r="K26" s="243">
        <f>VLOOKUP(B26,ИСХОДНИК!A:N,14,FALSE())</f>
        <v>553320</v>
      </c>
      <c r="L26" s="199" t="str">
        <f>IF(VLOOKUP(B26,ИСХОДНИК!A:R,18,FALSE())=1,ИСХОДНИК!$T$2,IF(VLOOKUP(B26,ИСХОДНИК!A:R,18,FALSE())=2,ИСХОДНИК!$T$5,IF(VLOOKUP(B26,ИСХОДНИК!A:R,18,FALSE())=3,ИСХОДНИК!$T$6)))</f>
        <v>◑</v>
      </c>
    </row>
    <row r="27" spans="2:20" ht="30" customHeight="1">
      <c r="B27" s="97" t="s">
        <v>677</v>
      </c>
      <c r="C27" s="196" t="str">
        <f>VLOOKUP(B27,ИСХОДНИК!A:P,5,FALSE())</f>
        <v>ORV 50 SD с термостатом 60⁰С</v>
      </c>
      <c r="D27" s="134" t="str">
        <f>VLOOKUP(B27,ИСХОДНИК!A:P,11,FALSE())</f>
        <v xml:space="preserve">Под пайку SD </v>
      </c>
      <c r="E27" s="182">
        <f>VLOOKUP(B27,ИСХОДНИК!A:P,7,FALSE())</f>
        <v>50</v>
      </c>
      <c r="F27" s="137" t="str">
        <f>VLOOKUP(B27,ИСХОДНИК!A:P,10,FALSE())</f>
        <v xml:space="preserve">Холодильные масла </v>
      </c>
      <c r="G27" s="137">
        <f>VLOOKUP(B27,ИСХОДНИК!A:P,8,FALSE())</f>
        <v>52</v>
      </c>
      <c r="H27" s="181" t="str">
        <f>VLOOKUP(B27,ИСХОДНИК!A:P,9,FALSE())</f>
        <v xml:space="preserve"> -10…85</v>
      </c>
      <c r="I27" s="182" t="str">
        <f>VLOOKUP(B27,ИСХОДНИК!A:P,15,FALSE())</f>
        <v>U6 PL40R</v>
      </c>
      <c r="J27" s="139">
        <f>VLOOKUP(B27,ИСХОДНИК!A:N,13,FALSE())</f>
        <v>477000</v>
      </c>
      <c r="K27" s="139">
        <f>VLOOKUP(B27,ИСХОДНИК!A:N,14,FALSE())</f>
        <v>553320</v>
      </c>
      <c r="L27" s="198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0" ht="30" customHeight="1">
      <c r="B28" s="97" t="s">
        <v>678</v>
      </c>
      <c r="C28" s="196" t="str">
        <f>VLOOKUP(B28,ИСХОДНИК!A:P,5,FALSE())</f>
        <v>ORV 65 D с термостатом 49⁰С</v>
      </c>
      <c r="D28" s="134" t="str">
        <f>VLOOKUP(B28,ИСХОДНИК!A:P,11,FALSE())</f>
        <v>Под сварку встык DIN</v>
      </c>
      <c r="E28" s="182">
        <f>VLOOKUP(B28,ИСХОДНИК!A:P,7,FALSE())</f>
        <v>65</v>
      </c>
      <c r="F28" s="137" t="str">
        <f>VLOOKUP(B28,ИСХОДНИК!A:P,10,FALSE())</f>
        <v xml:space="preserve">Холодильные масла </v>
      </c>
      <c r="G28" s="137">
        <f>VLOOKUP(B28,ИСХОДНИК!A:P,8,FALSE())</f>
        <v>52</v>
      </c>
      <c r="H28" s="181" t="str">
        <f>VLOOKUP(B28,ИСХОДНИК!A:P,9,FALSE())</f>
        <v xml:space="preserve"> -10…85</v>
      </c>
      <c r="I28" s="182" t="str">
        <f>VLOOKUP(B28,ИСХОДНИК!A:P,15,FALSE())</f>
        <v>U6 PL40R</v>
      </c>
      <c r="J28" s="139">
        <f>VLOOKUP(B28,ИСХОДНИК!A:N,13,FALSE())</f>
        <v>741000</v>
      </c>
      <c r="K28" s="139">
        <f>VLOOKUP(B28,ИСХОДНИК!A:N,14,FALSE())</f>
        <v>859559.99999999988</v>
      </c>
      <c r="L28" s="198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20" ht="30" customHeight="1">
      <c r="B29" s="97" t="s">
        <v>679</v>
      </c>
      <c r="C29" s="196" t="str">
        <f>VLOOKUP(B29,ИСХОДНИК!A:P,5,FALSE())</f>
        <v>ORV 65 D с термостатом 60⁰С</v>
      </c>
      <c r="D29" s="134" t="str">
        <f>VLOOKUP(B29,ИСХОДНИК!A:P,11,FALSE())</f>
        <v>Под сварку встык DIN</v>
      </c>
      <c r="E29" s="182">
        <f>VLOOKUP(B29,ИСХОДНИК!A:P,7,FALSE())</f>
        <v>65</v>
      </c>
      <c r="F29" s="137" t="str">
        <f>VLOOKUP(B29,ИСХОДНИК!A:P,10,FALSE())</f>
        <v xml:space="preserve">Холодильные масла </v>
      </c>
      <c r="G29" s="137">
        <f>VLOOKUP(B29,ИСХОДНИК!A:P,8,FALSE())</f>
        <v>52</v>
      </c>
      <c r="H29" s="181" t="str">
        <f>VLOOKUP(B29,ИСХОДНИК!A:P,9,FALSE())</f>
        <v xml:space="preserve"> -10…85</v>
      </c>
      <c r="I29" s="182" t="str">
        <f>VLOOKUP(B29,ИСХОДНИК!A:P,15,FALSE())</f>
        <v>U6 PL40R</v>
      </c>
      <c r="J29" s="139">
        <f>VLOOKUP(B29,ИСХОДНИК!A:N,13,FALSE())</f>
        <v>741000</v>
      </c>
      <c r="K29" s="139">
        <f>VLOOKUP(B29,ИСХОДНИК!A:N,14,FALSE())</f>
        <v>859559.99999999988</v>
      </c>
      <c r="L29" s="198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20" ht="30" customHeight="1">
      <c r="B30" s="97" t="s">
        <v>680</v>
      </c>
      <c r="C30" s="196" t="str">
        <f>VLOOKUP(B30,ИСХОДНИК!A:P,5,FALSE())</f>
        <v>ORV 65 SD с термостатом 49⁰С</v>
      </c>
      <c r="D30" s="134" t="str">
        <f>VLOOKUP(B30,ИСХОДНИК!A:P,11,FALSE())</f>
        <v xml:space="preserve">Под пайку SD </v>
      </c>
      <c r="E30" s="182">
        <f>VLOOKUP(B30,ИСХОДНИК!A:P,7,FALSE())</f>
        <v>65</v>
      </c>
      <c r="F30" s="137" t="str">
        <f>VLOOKUP(B30,ИСХОДНИК!A:P,10,FALSE())</f>
        <v xml:space="preserve">Холодильные масла </v>
      </c>
      <c r="G30" s="137">
        <f>VLOOKUP(B30,ИСХОДНИК!A:P,8,FALSE())</f>
        <v>52</v>
      </c>
      <c r="H30" s="181" t="str">
        <f>VLOOKUP(B30,ИСХОДНИК!A:P,9,FALSE())</f>
        <v xml:space="preserve"> -10…85</v>
      </c>
      <c r="I30" s="182" t="str">
        <f>VLOOKUP(B30,ИСХОДНИК!A:P,15,FALSE())</f>
        <v>U6 PL40R</v>
      </c>
      <c r="J30" s="139">
        <f>VLOOKUP(B30,ИСХОДНИК!A:N,13,FALSE())</f>
        <v>741000</v>
      </c>
      <c r="K30" s="139">
        <f>VLOOKUP(B30,ИСХОДНИК!A:N,14,FALSE())</f>
        <v>859559.99999999988</v>
      </c>
      <c r="L30" s="198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20" ht="30" customHeight="1">
      <c r="B31" s="97" t="s">
        <v>681</v>
      </c>
      <c r="C31" s="196" t="str">
        <f>VLOOKUP(B31,ИСХОДНИК!A:P,5,FALSE())</f>
        <v>ORV 65 SD с термостатом 60⁰С</v>
      </c>
      <c r="D31" s="134" t="str">
        <f>VLOOKUP(B31,ИСХОДНИК!A:P,11,FALSE())</f>
        <v xml:space="preserve">Под пайку SD </v>
      </c>
      <c r="E31" s="182">
        <f>VLOOKUP(B31,ИСХОДНИК!A:P,7,FALSE())</f>
        <v>65</v>
      </c>
      <c r="F31" s="137" t="str">
        <f>VLOOKUP(B31,ИСХОДНИК!A:P,10,FALSE())</f>
        <v xml:space="preserve">Холодильные масла </v>
      </c>
      <c r="G31" s="137">
        <f>VLOOKUP(B31,ИСХОДНИК!A:P,8,FALSE())</f>
        <v>52</v>
      </c>
      <c r="H31" s="181" t="str">
        <f>VLOOKUP(B31,ИСХОДНИК!A:P,9,FALSE())</f>
        <v xml:space="preserve"> -10…85</v>
      </c>
      <c r="I31" s="182" t="str">
        <f>VLOOKUP(B31,ИСХОДНИК!A:P,15,FALSE())</f>
        <v>U6 PL40R</v>
      </c>
      <c r="J31" s="139">
        <f>VLOOKUP(B31,ИСХОДНИК!A:N,13,FALSE())</f>
        <v>741000</v>
      </c>
      <c r="K31" s="139">
        <f>VLOOKUP(B31,ИСХОДНИК!A:N,14,FALSE())</f>
        <v>859559.99999999988</v>
      </c>
      <c r="L31" s="198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20" ht="30" customHeight="1">
      <c r="B32" s="97" t="s">
        <v>682</v>
      </c>
      <c r="C32" s="196" t="str">
        <f>VLOOKUP(B32,ИСХОДНИК!A:P,5,FALSE())</f>
        <v>ORV 80 D с термостатом 49⁰С</v>
      </c>
      <c r="D32" s="134" t="str">
        <f>VLOOKUP(B32,ИСХОДНИК!A:P,11,FALSE())</f>
        <v>Под сварку встык DIN</v>
      </c>
      <c r="E32" s="182">
        <f>VLOOKUP(B32,ИСХОДНИК!A:P,7,FALSE())</f>
        <v>80</v>
      </c>
      <c r="F32" s="137" t="str">
        <f>VLOOKUP(B32,ИСХОДНИК!A:P,10,FALSE())</f>
        <v xml:space="preserve">Холодильные масла </v>
      </c>
      <c r="G32" s="137">
        <f>VLOOKUP(B32,ИСХОДНИК!A:P,8,FALSE())</f>
        <v>52</v>
      </c>
      <c r="H32" s="181" t="str">
        <f>VLOOKUP(B32,ИСХОДНИК!A:P,9,FALSE())</f>
        <v xml:space="preserve"> -10…85</v>
      </c>
      <c r="I32" s="182" t="str">
        <f>VLOOKUP(B32,ИСХОДНИК!A:P,15,FALSE())</f>
        <v>U6 PL40R</v>
      </c>
      <c r="J32" s="139">
        <f>VLOOKUP(B32,ИСХОДНИК!A:N,13,FALSE())</f>
        <v>771000</v>
      </c>
      <c r="K32" s="139">
        <f>VLOOKUP(B32,ИСХОДНИК!A:N,14,FALSE())</f>
        <v>894359.99999999988</v>
      </c>
      <c r="L32" s="198" t="str">
        <f>IF(VLOOKUP(B32,ИСХОДНИК!A:R,18,FALSE())=1,ИСХОДНИК!$T$2,IF(VLOOKUP(B32,ИСХОДНИК!A:R,18,FALSE())=2,ИСХОДНИК!$T$5,IF(VLOOKUP(B32,ИСХОДНИК!A:R,18,FALSE())=3,ИСХОДНИК!$T$6)))</f>
        <v>○</v>
      </c>
    </row>
    <row r="33" spans="1:12" ht="30" customHeight="1">
      <c r="B33" s="97" t="s">
        <v>683</v>
      </c>
      <c r="C33" s="98" t="str">
        <f>VLOOKUP(B33,ИСХОДНИК!A:P,5,FALSE())</f>
        <v>ORV 80 D с термостатом 60⁰С</v>
      </c>
      <c r="D33" s="134" t="str">
        <f>VLOOKUP(B33,ИСХОДНИК!A:P,11,FALSE())</f>
        <v>Под сварку встык DIN</v>
      </c>
      <c r="E33" s="105">
        <f>VLOOKUP(B33,ИСХОДНИК!A:P,7,FALSE())</f>
        <v>80</v>
      </c>
      <c r="F33" s="137" t="str">
        <f>VLOOKUP(B33,ИСХОДНИК!A:P,10,FALSE())</f>
        <v xml:space="preserve">Холодильные масла </v>
      </c>
      <c r="G33" s="137">
        <f>VLOOKUP(B33,ИСХОДНИК!A:P,8,FALSE())</f>
        <v>52</v>
      </c>
      <c r="H33" s="137" t="str">
        <f>VLOOKUP(B33,ИСХОДНИК!A:P,9,FALSE())</f>
        <v xml:space="preserve"> -10…85</v>
      </c>
      <c r="I33" s="105" t="str">
        <f>VLOOKUP(B33,ИСХОДНИК!A:P,15,FALSE())</f>
        <v>U6 PL40R</v>
      </c>
      <c r="J33" s="139">
        <f>VLOOKUP(B33,ИСХОДНИК!A:N,13,FALSE())</f>
        <v>771000</v>
      </c>
      <c r="K33" s="139">
        <f>VLOOKUP(B33,ИСХОДНИК!A:N,14,FALSE())</f>
        <v>894359.99999999988</v>
      </c>
      <c r="L33" s="140" t="str">
        <f>IF(VLOOKUP(B33,ИСХОДНИК!A:R,18,FALSE())=1,ИСХОДНИК!$T$2,IF(VLOOKUP(B33,ИСХОДНИК!A:R,18,FALSE())=2,ИСХОДНИК!$T$5,IF(VLOOKUP(B33,ИСХОДНИК!A:R,18,FALSE())=3,ИСХОДНИК!$T$6)))</f>
        <v>○</v>
      </c>
    </row>
    <row r="34" spans="1:12" ht="22.5" customHeight="1">
      <c r="A34" s="28"/>
      <c r="B34" s="565"/>
      <c r="C34" s="565"/>
      <c r="D34" s="565"/>
      <c r="E34" s="565"/>
      <c r="F34" s="565"/>
      <c r="G34" s="565"/>
      <c r="H34" s="565"/>
      <c r="I34" s="565"/>
      <c r="J34" s="565"/>
      <c r="K34" s="565"/>
      <c r="L34" s="565"/>
    </row>
    <row r="35" spans="1:12" ht="22.5" customHeight="1">
      <c r="A35" s="28"/>
      <c r="B35" s="381" t="s">
        <v>199</v>
      </c>
      <c r="C35" s="381"/>
      <c r="D35" s="381"/>
      <c r="E35" s="381"/>
      <c r="F35" s="381"/>
      <c r="G35" s="381"/>
      <c r="H35" s="381"/>
      <c r="I35" s="381"/>
      <c r="J35" s="381"/>
      <c r="K35" s="381"/>
      <c r="L35" s="381"/>
    </row>
    <row r="36" spans="1:12" ht="167.25" customHeight="1">
      <c r="B36" s="566"/>
      <c r="C36" s="566"/>
      <c r="D36" s="566"/>
      <c r="E36" s="566"/>
      <c r="F36" s="566"/>
      <c r="G36" s="566"/>
      <c r="H36" s="566"/>
      <c r="I36" s="566"/>
      <c r="J36" s="566"/>
      <c r="K36" s="566"/>
      <c r="L36" s="566"/>
    </row>
    <row r="37" spans="1:12" ht="38.25" customHeight="1">
      <c r="B37" s="95" t="s">
        <v>72</v>
      </c>
      <c r="C37" s="494" t="s">
        <v>365</v>
      </c>
      <c r="D37" s="494"/>
      <c r="E37" s="494"/>
      <c r="F37" s="494"/>
      <c r="G37" s="494"/>
      <c r="H37" s="208" t="s">
        <v>201</v>
      </c>
      <c r="I37" s="95" t="s">
        <v>67</v>
      </c>
      <c r="J37" s="94" t="s">
        <v>74</v>
      </c>
      <c r="K37" s="94" t="s">
        <v>75</v>
      </c>
      <c r="L37" s="242" t="s">
        <v>55</v>
      </c>
    </row>
    <row r="38" spans="1:12" ht="22.5" customHeight="1">
      <c r="B38" s="97" t="s">
        <v>684</v>
      </c>
      <c r="C38" s="508" t="s">
        <v>685</v>
      </c>
      <c r="D38" s="508"/>
      <c r="E38" s="508"/>
      <c r="F38" s="508"/>
      <c r="G38" s="508"/>
      <c r="H38" s="181">
        <v>1</v>
      </c>
      <c r="I38" s="182" t="str">
        <f>VLOOKUP(B38,ИСХОДНИК!A:P,15,FALSE())</f>
        <v>U6 PL40R</v>
      </c>
      <c r="J38" s="139">
        <f>VLOOKUP(B38,ИСХОДНИК!A:N,13,FALSE())</f>
        <v>111000</v>
      </c>
      <c r="K38" s="139">
        <f>VLOOKUP(B38,ИСХОДНИК!A:N,14,FALSE())</f>
        <v>128759.99999999999</v>
      </c>
      <c r="L38" s="199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1:12" ht="22.5" customHeight="1">
      <c r="B39" s="97" t="s">
        <v>686</v>
      </c>
      <c r="C39" s="508" t="s">
        <v>687</v>
      </c>
      <c r="D39" s="508"/>
      <c r="E39" s="508"/>
      <c r="F39" s="508"/>
      <c r="G39" s="508"/>
      <c r="H39" s="181">
        <v>1</v>
      </c>
      <c r="I39" s="182" t="str">
        <f>VLOOKUP(B39,ИСХОДНИК!A:P,15,FALSE())</f>
        <v>U6 PL40R</v>
      </c>
      <c r="J39" s="139">
        <f>VLOOKUP(B39,ИСХОДНИК!A:N,13,FALSE())</f>
        <v>111000</v>
      </c>
      <c r="K39" s="139">
        <f>VLOOKUP(B39,ИСХОДНИК!A:N,14,FALSE())</f>
        <v>128759.99999999999</v>
      </c>
      <c r="L39" s="199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1:12" ht="22.5" customHeight="1">
      <c r="B40" s="97" t="s">
        <v>688</v>
      </c>
      <c r="C40" s="508" t="s">
        <v>689</v>
      </c>
      <c r="D40" s="508"/>
      <c r="E40" s="508"/>
      <c r="F40" s="508"/>
      <c r="G40" s="508"/>
      <c r="H40" s="181">
        <v>1</v>
      </c>
      <c r="I40" s="182" t="str">
        <f>VLOOKUP(B40,ИСХОДНИК!A:P,15,FALSE())</f>
        <v>U6 PL40R</v>
      </c>
      <c r="J40" s="139">
        <f>VLOOKUP(B40,ИСХОДНИК!A:N,13,FALSE())</f>
        <v>111000</v>
      </c>
      <c r="K40" s="139">
        <f>VLOOKUP(B40,ИСХОДНИК!A:N,14,FALSE())</f>
        <v>128759.99999999999</v>
      </c>
      <c r="L40" s="199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1:12" ht="22.5" customHeight="1">
      <c r="B41" s="97" t="s">
        <v>690</v>
      </c>
      <c r="C41" s="508" t="s">
        <v>691</v>
      </c>
      <c r="D41" s="508"/>
      <c r="E41" s="508"/>
      <c r="F41" s="508"/>
      <c r="G41" s="508"/>
      <c r="H41" s="137">
        <v>1</v>
      </c>
      <c r="I41" s="182" t="str">
        <f>VLOOKUP(B41,ИСХОДНИК!A:P,15,FALSE())</f>
        <v>U6 PL40R</v>
      </c>
      <c r="J41" s="139">
        <f>VLOOKUP(B41,ИСХОДНИК!A:N,13,FALSE())</f>
        <v>111000</v>
      </c>
      <c r="K41" s="139">
        <f>VLOOKUP(B41,ИСХОДНИК!A:N,14,FALSE())</f>
        <v>128759.99999999999</v>
      </c>
      <c r="L41" s="199" t="str">
        <f>IF(VLOOKUP(B41,ИСХОДНИК!A:R,18,FALSE())=1,ИСХОДНИК!$T$2,IF(VLOOKUP(B41,ИСХОДНИК!A:R,18,FALSE())=2,ИСХОДНИК!$T$5,IF(VLOOKUP(B41,ИСХОДНИК!A:R,18,FALSE())=3,ИСХОДНИК!$T$6)))</f>
        <v>◑</v>
      </c>
    </row>
    <row r="42" spans="1:12" ht="12.75" customHeight="1">
      <c r="B42" s="567"/>
      <c r="C42" s="567"/>
      <c r="D42" s="567"/>
      <c r="E42" s="567"/>
      <c r="F42" s="567"/>
      <c r="G42" s="567"/>
      <c r="H42" s="567"/>
      <c r="I42" s="567"/>
      <c r="J42" s="567"/>
      <c r="K42" s="567"/>
      <c r="L42" s="567"/>
    </row>
    <row r="43" spans="1:12" ht="24.75" customHeight="1">
      <c r="B43" s="97" t="s">
        <v>692</v>
      </c>
      <c r="C43" s="508" t="s">
        <v>693</v>
      </c>
      <c r="D43" s="508"/>
      <c r="E43" s="508"/>
      <c r="F43" s="508"/>
      <c r="G43" s="508"/>
      <c r="H43" s="137">
        <v>2.2999999999999998</v>
      </c>
      <c r="I43" s="200" t="str">
        <f>VLOOKUP(B43,ИСХОДНИК!A:P,15,FALSE())</f>
        <v>U6 PL40R</v>
      </c>
      <c r="J43" s="139">
        <f>VLOOKUP(B43,ИСХОДНИК!A:N,13,FALSE())</f>
        <v>14400</v>
      </c>
      <c r="K43" s="139">
        <f>VLOOKUP(B43,ИСХОДНИК!A:N,14,FALSE())</f>
        <v>16704</v>
      </c>
      <c r="L43" s="268" t="str">
        <f>IF(VLOOKUP(B43,ИСХОДНИК!A:R,18,FALSE())=1,ИСХОДНИК!$T$2,IF(VLOOKUP(B43,ИСХОДНИК!A:R,18,FALSE())=2,ИСХОДНИК!$T$5,IF(VLOOKUP(B41,ИСХОДНИК!A:R,18,FALSE())=3,ИСХОДНИК!$T$6)))</f>
        <v>◑</v>
      </c>
    </row>
    <row r="44" spans="1:12" ht="26.25" customHeight="1">
      <c r="B44" s="97" t="s">
        <v>694</v>
      </c>
      <c r="C44" s="495" t="s">
        <v>695</v>
      </c>
      <c r="D44" s="495"/>
      <c r="E44" s="495"/>
      <c r="F44" s="495"/>
      <c r="G44" s="495"/>
      <c r="H44" s="137">
        <v>2.2999999999999998</v>
      </c>
      <c r="I44" s="200" t="str">
        <f>VLOOKUP(B44,ИСХОДНИК!A:P,15,FALSE())</f>
        <v>U6 PL40R</v>
      </c>
      <c r="J44" s="139">
        <f>VLOOKUP(B44,ИСХОДНИК!A:N,13,FALSE())</f>
        <v>16200</v>
      </c>
      <c r="K44" s="139">
        <f>VLOOKUP(B44,ИСХОДНИК!A:N,14,FALSE())</f>
        <v>18792</v>
      </c>
      <c r="L44" s="268" t="str">
        <f>IF(VLOOKUP(B44,ИСХОДНИК!A:R,18,FALSE())=1,ИСХОДНИК!$T$2,IF(VLOOKUP(B44,ИСХОДНИК!A:R,18,FALSE())=2,ИСХОДНИК!$T$5,IF(VLOOKUP(B42,ИСХОДНИК!A:R,18,FALSE())=3,ИСХОДНИК!$T$6)))</f>
        <v>◑</v>
      </c>
    </row>
    <row r="45" spans="1:12" ht="22.5" customHeight="1">
      <c r="B45" s="97" t="s">
        <v>696</v>
      </c>
      <c r="C45" s="495" t="s">
        <v>697</v>
      </c>
      <c r="D45" s="495"/>
      <c r="E45" s="495"/>
      <c r="F45" s="495"/>
      <c r="G45" s="495"/>
      <c r="H45" s="137">
        <v>2.2999999999999998</v>
      </c>
      <c r="I45" s="200" t="str">
        <f>VLOOKUP(B45,ИСХОДНИК!A:P,15,FALSE())</f>
        <v>U6 PL40R</v>
      </c>
      <c r="J45" s="139">
        <f>VLOOKUP(B45,ИСХОДНИК!A:N,13,FALSE())</f>
        <v>23400</v>
      </c>
      <c r="K45" s="139">
        <f>VLOOKUP(B45,ИСХОДНИК!A:N,14,FALSE())</f>
        <v>27143.999999999996</v>
      </c>
      <c r="L45" s="268" t="str">
        <f>IF(VLOOKUP(B45,ИСХОДНИК!A:R,18,FALSE())=1,ИСХОДНИК!$T$2,IF(VLOOKUP(B45,ИСХОДНИК!A:R,18,FALSE())=2,ИСХОДНИК!$T$5,IF(VLOOKUP(B43,ИСХОДНИК!A:R,18,FALSE())=3,ИСХОДНИК!$T$6)))</f>
        <v>◑</v>
      </c>
    </row>
  </sheetData>
  <autoFilter ref="B11:L11" xr:uid="{00000000-0009-0000-0000-000011000000}"/>
  <mergeCells count="24">
    <mergeCell ref="C43:G43"/>
    <mergeCell ref="C44:G44"/>
    <mergeCell ref="C45:G45"/>
    <mergeCell ref="C38:G38"/>
    <mergeCell ref="C39:G39"/>
    <mergeCell ref="C40:G40"/>
    <mergeCell ref="C41:G41"/>
    <mergeCell ref="B42:L42"/>
    <mergeCell ref="R10:T10"/>
    <mergeCell ref="B34:L34"/>
    <mergeCell ref="B36:E36"/>
    <mergeCell ref="F36:L36"/>
    <mergeCell ref="C37:G37"/>
    <mergeCell ref="B10:H10"/>
    <mergeCell ref="I10:L10"/>
    <mergeCell ref="N10:N11"/>
    <mergeCell ref="O10:O11"/>
    <mergeCell ref="P10:Q10"/>
    <mergeCell ref="N2:T2"/>
    <mergeCell ref="B3:G3"/>
    <mergeCell ref="P3:Q3"/>
    <mergeCell ref="R8:T8"/>
    <mergeCell ref="P9:Q9"/>
    <mergeCell ref="R9:T9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6"/>
  <sheetViews>
    <sheetView showGridLines="0" zoomScaleNormal="100" workbookViewId="0">
      <selection activeCell="I12" sqref="I12"/>
    </sheetView>
  </sheetViews>
  <sheetFormatPr defaultColWidth="9.1796875" defaultRowHeight="12" customHeight="1"/>
  <cols>
    <col min="1" max="1" width="2.1796875" style="107" customWidth="1"/>
    <col min="2" max="2" width="15.81640625" style="108" customWidth="1"/>
    <col min="3" max="3" width="30.7265625" style="107" customWidth="1"/>
    <col min="4" max="4" width="23.81640625" style="107" customWidth="1"/>
    <col min="5" max="5" width="43.81640625" style="107" customWidth="1"/>
    <col min="6" max="6" width="11.1796875" style="107" customWidth="1"/>
    <col min="7" max="7" width="17.453125" style="107" customWidth="1"/>
    <col min="8" max="8" width="13.54296875" style="107" customWidth="1"/>
    <col min="9" max="9" width="10.453125" style="107" customWidth="1"/>
    <col min="10" max="10" width="11.1796875" style="107" customWidth="1"/>
    <col min="11" max="11" width="4.453125" style="107" customWidth="1"/>
    <col min="12" max="16384" width="9.1796875" style="107"/>
  </cols>
  <sheetData>
    <row r="1" spans="1:11" ht="11.25" customHeight="1"/>
    <row r="2" spans="1:11" ht="42" customHeight="1">
      <c r="B2" s="213" t="s">
        <v>698</v>
      </c>
      <c r="C2" s="110"/>
      <c r="D2" s="217"/>
      <c r="E2" s="217"/>
      <c r="F2" s="217"/>
      <c r="G2" s="217"/>
      <c r="H2" s="217"/>
      <c r="I2" s="217"/>
      <c r="J2" s="217"/>
      <c r="K2" s="218"/>
    </row>
    <row r="3" spans="1:11" ht="88.5" customHeight="1">
      <c r="B3" s="491" t="s">
        <v>699</v>
      </c>
      <c r="C3" s="491"/>
      <c r="D3" s="491"/>
      <c r="E3" s="491"/>
      <c r="F3" s="491"/>
      <c r="G3" s="112"/>
      <c r="H3" s="113"/>
      <c r="I3" s="113"/>
      <c r="J3" s="113"/>
      <c r="K3" s="114"/>
    </row>
    <row r="4" spans="1:11" ht="10.5" customHeight="1">
      <c r="B4" s="76" t="s">
        <v>58</v>
      </c>
      <c r="C4" s="115" t="s">
        <v>59</v>
      </c>
      <c r="D4" s="164"/>
      <c r="E4" s="116"/>
      <c r="F4" s="371"/>
      <c r="G4" s="113"/>
      <c r="H4" s="113"/>
      <c r="I4" s="113"/>
      <c r="J4" s="113"/>
      <c r="K4" s="114"/>
    </row>
    <row r="5" spans="1:11" ht="10.5" customHeight="1">
      <c r="B5" s="78" t="s">
        <v>61</v>
      </c>
      <c r="C5" s="115" t="s">
        <v>62</v>
      </c>
      <c r="D5" s="164"/>
      <c r="E5" s="116"/>
      <c r="F5" s="371"/>
      <c r="G5" s="113"/>
      <c r="H5" s="113"/>
      <c r="I5" s="113"/>
      <c r="J5" s="113"/>
      <c r="K5" s="114"/>
    </row>
    <row r="6" spans="1:11" ht="10.5" customHeight="1">
      <c r="B6" s="80" t="s">
        <v>65</v>
      </c>
      <c r="C6" s="115" t="s">
        <v>66</v>
      </c>
      <c r="D6" s="164"/>
      <c r="E6" s="116"/>
      <c r="F6" s="371"/>
      <c r="G6" s="113"/>
      <c r="H6" s="113"/>
      <c r="I6" s="113"/>
      <c r="J6" s="113"/>
      <c r="K6" s="114"/>
    </row>
    <row r="7" spans="1:11" ht="10.5" customHeight="1">
      <c r="B7" s="80"/>
      <c r="C7" s="115"/>
      <c r="D7" s="164"/>
      <c r="E7" s="116"/>
      <c r="F7" s="371"/>
      <c r="G7" s="113"/>
      <c r="H7" s="113"/>
      <c r="I7" s="113"/>
      <c r="J7" s="113"/>
      <c r="K7" s="114"/>
    </row>
    <row r="8" spans="1:11" s="382" customFormat="1" ht="15" customHeight="1">
      <c r="B8" s="118"/>
      <c r="C8" s="119"/>
      <c r="D8" s="119"/>
      <c r="E8" s="120"/>
      <c r="F8" s="113"/>
      <c r="G8" s="113"/>
      <c r="H8" s="113"/>
      <c r="I8" s="113"/>
      <c r="J8" s="113"/>
      <c r="K8" s="114"/>
    </row>
    <row r="9" spans="1:11" s="382" customFormat="1" ht="15" customHeight="1">
      <c r="A9" s="227"/>
      <c r="B9" s="73"/>
      <c r="C9" s="74"/>
      <c r="D9" s="74"/>
      <c r="E9" s="123"/>
      <c r="F9" s="113"/>
      <c r="G9" s="113"/>
      <c r="H9" s="113"/>
      <c r="I9" s="113"/>
      <c r="J9" s="113"/>
      <c r="K9" s="114"/>
    </row>
    <row r="10" spans="1:11" ht="11.25" customHeight="1">
      <c r="B10" s="260"/>
      <c r="C10" s="125"/>
      <c r="D10" s="125"/>
      <c r="E10" s="125"/>
      <c r="F10" s="125"/>
      <c r="G10" s="125"/>
      <c r="H10" s="492"/>
      <c r="I10" s="492"/>
      <c r="J10" s="492"/>
      <c r="K10" s="492"/>
    </row>
    <row r="11" spans="1:11" ht="37.5" customHeight="1">
      <c r="B11" s="95" t="s">
        <v>72</v>
      </c>
      <c r="C11" s="95" t="s">
        <v>90</v>
      </c>
      <c r="D11" s="95" t="s">
        <v>91</v>
      </c>
      <c r="E11" s="95" t="s">
        <v>84</v>
      </c>
      <c r="F11" s="95" t="s">
        <v>82</v>
      </c>
      <c r="G11" s="95" t="s">
        <v>83</v>
      </c>
      <c r="H11" s="208" t="s">
        <v>67</v>
      </c>
      <c r="I11" s="94" t="s">
        <v>74</v>
      </c>
      <c r="J11" s="94" t="s">
        <v>75</v>
      </c>
      <c r="K11" s="242" t="s">
        <v>55</v>
      </c>
    </row>
    <row r="12" spans="1:11" ht="51" customHeight="1">
      <c r="B12" s="97" t="s">
        <v>700</v>
      </c>
      <c r="C12" s="212" t="str">
        <f>VLOOKUP(B12,ИСХОДНИК!A:P,5,FALSE())</f>
        <v>Реле уровня жидкости ELS 1.1</v>
      </c>
      <c r="D12" s="134" t="str">
        <f>VLOOKUP(B12,ИСХОДНИК!A:P,11,FALSE())</f>
        <v>Наруж. резьба G 3/4"</v>
      </c>
      <c r="E12" s="212" t="str">
        <f>VLOOKUP(B12,ИСХОДНИК!A:P,10,FALSE())</f>
        <v>R717 (аммиак), R744 (диоксид углерода), R507A, R410A, R134a, R22, R404A, R407C, холодильные масла, пропиленгликоль и этиленгликоль</v>
      </c>
      <c r="F12" s="137">
        <f>VLOOKUP(B12,ИСХОДНИК!A:P,8,FALSE())</f>
        <v>63</v>
      </c>
      <c r="G12" s="181" t="str">
        <f>VLOOKUP(B12,ИСХОДНИК!A:P,9,FALSE())</f>
        <v xml:space="preserve"> -60…120</v>
      </c>
      <c r="H12" s="105" t="str">
        <f>VLOOKUP(B12,ИСХОДНИК!A:P,15,FALSE())</f>
        <v>U6 PL40R</v>
      </c>
      <c r="I12" s="139">
        <f>VLOOKUP(B12,ИСХОДНИК!A:P,13,FALSE())</f>
        <v>834000</v>
      </c>
      <c r="J12" s="139">
        <f>VLOOKUP(B12,ИСХОДНИК!A:P,14,FALSE())</f>
        <v>967439.99999999988</v>
      </c>
      <c r="K12" s="140" t="str">
        <f>IF(VLOOKUP(B12,ИСХОДНИК!A:R,18,FALSE())=1,ИСХОДНИК!$T$2,IF(VLOOKUP(B12,ИСХОДНИК!A:R,18,FALSE())=2,ИСХОДНИК!$T$5,IF(VLOOKUP(B12,ИСХОДНИК!A:R,18,FALSE())=3,ИСХОДНИК!$T$6)))</f>
        <v>●</v>
      </c>
    </row>
    <row r="13" spans="1:11" ht="22.5" customHeight="1">
      <c r="B13" s="97" t="s">
        <v>701</v>
      </c>
      <c r="C13" s="98" t="str">
        <f>VLOOKUP(B13,ИСХОДНИК!A:P,5,FALSE())</f>
        <v>Штуцер под сварку</v>
      </c>
      <c r="D13" s="134" t="str">
        <f>VLOOKUP(B13,ИСХОДНИК!A:P,11,FALSE())</f>
        <v>Внутр. резьба G 3/4"</v>
      </c>
      <c r="E13" s="137" t="str">
        <f>VLOOKUP(B13,ИСХОДНИК!A:P,10,FALSE())</f>
        <v xml:space="preserve"> -</v>
      </c>
      <c r="F13" s="137" t="str">
        <f>VLOOKUP(B13,ИСХОДНИК!A:P,8,FALSE())</f>
        <v xml:space="preserve"> -</v>
      </c>
      <c r="G13" s="181" t="str">
        <f>VLOOKUP(B13,ИСХОДНИК!A:P,9,FALSE())</f>
        <v xml:space="preserve"> -</v>
      </c>
      <c r="H13" s="105" t="str">
        <f>VLOOKUP(B13,ИСХОДНИК!A:P,15,FALSE())</f>
        <v>U6 PL40R</v>
      </c>
      <c r="I13" s="139">
        <f>VLOOKUP(B13,ИСХОДНИК!A:P,13,FALSE())</f>
        <v>29400</v>
      </c>
      <c r="J13" s="139">
        <f>VLOOKUP(B13,ИСХОДНИК!A:P,14,FALSE())</f>
        <v>34104</v>
      </c>
      <c r="K13" s="104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5" spans="1:11" ht="24.75" customHeight="1">
      <c r="B15" s="383" t="s">
        <v>702</v>
      </c>
      <c r="C15" s="383"/>
      <c r="D15" s="383"/>
      <c r="F15" s="568" t="s">
        <v>703</v>
      </c>
      <c r="G15" s="568"/>
      <c r="H15" s="568"/>
      <c r="I15" s="568"/>
      <c r="J15" s="568"/>
      <c r="K15" s="568"/>
    </row>
    <row r="16" spans="1:11" ht="13.5"/>
    <row r="17" ht="13.5"/>
    <row r="18" ht="13.5"/>
    <row r="19" ht="13.5"/>
    <row r="20" ht="13.5"/>
    <row r="21" ht="13.5"/>
    <row r="22" ht="13.5"/>
    <row r="23" ht="13.5"/>
    <row r="24" ht="13.5"/>
    <row r="25" ht="13.5"/>
    <row r="26" ht="13.5"/>
    <row r="27" ht="13.5"/>
    <row r="28" ht="13.5"/>
    <row r="29" ht="13.5"/>
    <row r="30" ht="13.5"/>
    <row r="31" ht="13.5"/>
    <row r="32" ht="13.5"/>
    <row r="33" ht="13.5"/>
    <row r="34" ht="13.5"/>
    <row r="35" ht="13.5"/>
    <row r="36" ht="13.5"/>
  </sheetData>
  <autoFilter ref="B11:K11" xr:uid="{00000000-0009-0000-0000-000012000000}"/>
  <mergeCells count="3">
    <mergeCell ref="B3:F3"/>
    <mergeCell ref="H10:K10"/>
    <mergeCell ref="F15:K15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3"/>
  <sheetViews>
    <sheetView showGridLines="0" tabSelected="1" zoomScaleNormal="100" workbookViewId="0">
      <selection activeCell="C5" sqref="C5"/>
    </sheetView>
  </sheetViews>
  <sheetFormatPr defaultColWidth="8.81640625" defaultRowHeight="12.75" customHeight="1" outlineLevelCol="1"/>
  <cols>
    <col min="1" max="1" width="2.1796875" customWidth="1"/>
    <col min="2" max="2" width="16" customWidth="1"/>
    <col min="3" max="3" width="87.1796875" customWidth="1"/>
    <col min="4" max="4" width="12" customWidth="1"/>
    <col min="5" max="5" width="11" customWidth="1"/>
    <col min="6" max="7" width="9.453125" hidden="1" customWidth="1" outlineLevel="1"/>
    <col min="8" max="8" width="18" hidden="1" customWidth="1" outlineLevel="1"/>
    <col min="9" max="10" width="17.7265625" hidden="1" customWidth="1" outlineLevel="1"/>
    <col min="11" max="11" width="5.1796875" style="62" customWidth="1" collapsed="1"/>
    <col min="12" max="12" width="6.1796875" style="62" customWidth="1" outlineLevel="1"/>
    <col min="13" max="13" width="8.7265625" outlineLevel="1"/>
    <col min="14" max="14" width="16.1796875" customWidth="1" outlineLevel="1"/>
    <col min="15" max="15" width="23" customWidth="1" outlineLevel="1"/>
    <col min="16" max="16" width="38.81640625" customWidth="1" outlineLevel="1"/>
    <col min="17" max="17" width="14.453125" customWidth="1"/>
    <col min="18" max="18" width="12.1796875" customWidth="1"/>
  </cols>
  <sheetData>
    <row r="1" spans="1:18" ht="11.25" customHeight="1"/>
    <row r="2" spans="1:18" ht="18.75" customHeight="1">
      <c r="A2" s="32"/>
      <c r="B2" s="63" t="s">
        <v>49</v>
      </c>
      <c r="C2" s="2" t="s">
        <v>50</v>
      </c>
      <c r="D2" s="2"/>
      <c r="E2" s="2"/>
      <c r="F2" s="1" t="s">
        <v>51</v>
      </c>
      <c r="G2" s="1"/>
      <c r="H2" s="1"/>
      <c r="I2" s="1"/>
      <c r="J2" s="1"/>
      <c r="K2" s="64"/>
      <c r="L2" s="482" t="s">
        <v>52</v>
      </c>
      <c r="M2" s="482"/>
      <c r="N2" s="482"/>
      <c r="O2" s="482"/>
      <c r="P2" s="482"/>
    </row>
    <row r="3" spans="1:18" ht="19.5" customHeight="1">
      <c r="B3" s="483" t="s">
        <v>53</v>
      </c>
      <c r="C3" s="483"/>
      <c r="D3" s="483"/>
      <c r="E3" s="483"/>
      <c r="F3" s="65"/>
      <c r="G3" s="65" t="s">
        <v>54</v>
      </c>
      <c r="H3" s="65"/>
      <c r="I3" s="65"/>
      <c r="J3" s="66"/>
      <c r="K3" s="67"/>
      <c r="L3" s="68"/>
      <c r="M3" s="69"/>
      <c r="N3" s="69"/>
      <c r="O3" s="69"/>
      <c r="P3" s="70"/>
    </row>
    <row r="4" spans="1:18" ht="10.5" customHeight="1">
      <c r="B4" s="71" t="s">
        <v>55</v>
      </c>
      <c r="C4" s="69"/>
      <c r="D4" s="69"/>
      <c r="E4" s="70"/>
      <c r="F4" s="69"/>
      <c r="G4" s="484" t="s">
        <v>56</v>
      </c>
      <c r="H4" s="484"/>
      <c r="I4" s="484"/>
      <c r="J4" s="484"/>
      <c r="K4" s="67"/>
      <c r="L4" s="72"/>
      <c r="M4" s="73" t="s">
        <v>57</v>
      </c>
      <c r="N4" s="74"/>
      <c r="O4" s="74"/>
      <c r="P4" s="75"/>
    </row>
    <row r="5" spans="1:18" ht="13.5" customHeight="1">
      <c r="B5" s="76" t="s">
        <v>58</v>
      </c>
      <c r="C5" s="77" t="s">
        <v>59</v>
      </c>
      <c r="D5" s="74"/>
      <c r="E5" s="70"/>
      <c r="F5" s="69"/>
      <c r="G5" s="485" t="s">
        <v>60</v>
      </c>
      <c r="H5" s="485"/>
      <c r="I5" s="485"/>
      <c r="J5" s="485"/>
      <c r="K5" s="67"/>
      <c r="L5" s="72"/>
      <c r="M5" s="486"/>
      <c r="N5" s="486"/>
      <c r="O5" s="486"/>
      <c r="P5" s="486"/>
    </row>
    <row r="6" spans="1:18" ht="11.25" customHeight="1">
      <c r="B6" s="78" t="s">
        <v>61</v>
      </c>
      <c r="C6" s="77" t="s">
        <v>62</v>
      </c>
      <c r="D6" s="74"/>
      <c r="E6" s="70"/>
      <c r="F6" s="69"/>
      <c r="G6" s="485" t="s">
        <v>63</v>
      </c>
      <c r="H6" s="485"/>
      <c r="I6" s="485"/>
      <c r="J6" s="485"/>
      <c r="K6" s="79"/>
      <c r="L6" s="72"/>
      <c r="M6" s="487" t="s">
        <v>64</v>
      </c>
      <c r="N6" s="487"/>
      <c r="O6" s="487"/>
      <c r="P6" s="487"/>
    </row>
    <row r="7" spans="1:18" ht="13.5" customHeight="1">
      <c r="B7" s="80" t="s">
        <v>65</v>
      </c>
      <c r="C7" s="77" t="s">
        <v>66</v>
      </c>
      <c r="D7" s="74"/>
      <c r="E7" s="70"/>
      <c r="F7" s="69"/>
      <c r="G7" s="69"/>
      <c r="H7" s="81" t="s">
        <v>67</v>
      </c>
      <c r="I7" s="81" t="s">
        <v>68</v>
      </c>
      <c r="J7" s="81" t="s">
        <v>69</v>
      </c>
      <c r="K7" s="67"/>
      <c r="L7" s="72"/>
      <c r="M7" s="74"/>
      <c r="N7" s="74"/>
      <c r="O7" s="74"/>
      <c r="P7" s="75"/>
    </row>
    <row r="8" spans="1:18" ht="12" customHeight="1">
      <c r="B8" s="488"/>
      <c r="C8" s="488"/>
      <c r="D8" s="488"/>
      <c r="E8" s="488"/>
      <c r="F8" s="82"/>
      <c r="G8" s="82"/>
      <c r="H8" s="83" t="s">
        <v>70</v>
      </c>
      <c r="I8" s="84">
        <v>0</v>
      </c>
      <c r="J8" s="85">
        <v>80</v>
      </c>
      <c r="K8" s="67"/>
      <c r="L8" s="86"/>
      <c r="M8" s="487" t="s">
        <v>71</v>
      </c>
      <c r="N8" s="487"/>
      <c r="O8" s="487"/>
      <c r="P8" s="487"/>
    </row>
    <row r="9" spans="1:18" ht="15.75" customHeight="1">
      <c r="B9" s="87"/>
      <c r="C9" s="489"/>
      <c r="D9" s="489"/>
      <c r="E9" s="489"/>
      <c r="F9" s="88"/>
      <c r="G9" s="89"/>
      <c r="H9" s="90"/>
      <c r="I9" s="90"/>
      <c r="J9" s="91"/>
      <c r="K9" s="92"/>
      <c r="L9" s="93"/>
      <c r="M9" s="90"/>
      <c r="N9" s="90"/>
      <c r="O9" s="90"/>
      <c r="P9" s="91"/>
    </row>
    <row r="10" spans="1:18" ht="38.25" customHeight="1">
      <c r="B10" s="94" t="s">
        <v>72</v>
      </c>
      <c r="C10" s="94" t="s">
        <v>73</v>
      </c>
      <c r="D10" s="95" t="s">
        <v>74</v>
      </c>
      <c r="E10" s="95" t="s">
        <v>75</v>
      </c>
      <c r="F10" s="95" t="s">
        <v>76</v>
      </c>
      <c r="G10" s="95" t="s">
        <v>67</v>
      </c>
      <c r="H10" s="95" t="s">
        <v>77</v>
      </c>
      <c r="I10" s="95" t="s">
        <v>78</v>
      </c>
      <c r="J10" s="95" t="s">
        <v>79</v>
      </c>
      <c r="K10" s="96" t="s">
        <v>80</v>
      </c>
      <c r="L10" s="95" t="s">
        <v>81</v>
      </c>
      <c r="M10" s="95" t="s">
        <v>82</v>
      </c>
      <c r="N10" s="95" t="s">
        <v>83</v>
      </c>
      <c r="O10" s="95" t="s">
        <v>84</v>
      </c>
      <c r="P10" s="95" t="s">
        <v>85</v>
      </c>
    </row>
    <row r="11" spans="1:18" ht="17.5">
      <c r="B11" s="97"/>
      <c r="C11" s="98" t="e">
        <f>VLOOKUP(B11,ИСХОДНИК!A:N,3,FALSE())</f>
        <v>#N/A</v>
      </c>
      <c r="D11" s="99" t="e">
        <f>VLOOKUP('Быстрый поиск по коду'!B11,ИСХОДНИК!A:N,13,FALSE())</f>
        <v>#N/A</v>
      </c>
      <c r="E11" s="99" t="e">
        <f>VLOOKUP('Быстрый поиск по коду'!B11,ИСХОДНИК!A:N,14,FALSE())</f>
        <v>#N/A</v>
      </c>
      <c r="F11" s="100">
        <v>1</v>
      </c>
      <c r="G11" s="101" t="e">
        <f>VLOOKUP(B11,ИСХОДНИК!A:P,15,FALSE())</f>
        <v>#N/A</v>
      </c>
      <c r="H11" s="102" t="e">
        <f>D11*(1-$I$7)*F11</f>
        <v>#N/A</v>
      </c>
      <c r="I11" s="102" t="e">
        <f>D11*(1-$I$7)*F11</f>
        <v>#N/A</v>
      </c>
      <c r="J11" s="103" t="e">
        <f>I11*$J$7</f>
        <v>#N/A</v>
      </c>
      <c r="K11" s="104" t="e">
        <f>IF(VLOOKUP(B11,ИСХОДНИК!A:R,18,FALSE())=1,ИСХОДНИК!$T$2,IF(VLOOKUP(B11,ИСХОДНИК!A:R,18,FALSE())=2,ИСХОДНИК!$T$5,IF(VLOOKUP(B11,ИСХОДНИК!A:R,18,FALSE())=3,ИСХОДНИК!$T$6)))</f>
        <v>#N/A</v>
      </c>
      <c r="L11" s="105" t="e">
        <f>VLOOKUP(B11,ИСХОДНИК!A:N,7,FALSE())</f>
        <v>#N/A</v>
      </c>
      <c r="M11" s="105" t="e">
        <f>VLOOKUP(B11,ИСХОДНИК!A:N,8,FALSE())</f>
        <v>#N/A</v>
      </c>
      <c r="N11" s="105" t="e">
        <f>VLOOKUP(B11,ИСХОДНИК!A:N,9,FALSE())</f>
        <v>#N/A</v>
      </c>
      <c r="O11" s="98" t="e">
        <f>VLOOKUP(B11,ИСХОДНИК!A:N,10,FALSE())</f>
        <v>#N/A</v>
      </c>
      <c r="P11" s="98" t="e">
        <f>VLOOKUP(B11,ИСХОДНИК!A:N,11,FALSE())</f>
        <v>#N/A</v>
      </c>
      <c r="R11" s="106"/>
    </row>
    <row r="12" spans="1:18" ht="17.5">
      <c r="B12" s="97"/>
      <c r="C12" s="98" t="e">
        <f>VLOOKUP(B12,ИСХОДНИК!A:N,3,FALSE())</f>
        <v>#N/A</v>
      </c>
      <c r="D12" s="99" t="e">
        <f>VLOOKUP('Быстрый поиск по коду'!B12,ИСХОДНИК!A:N,13,FALSE())</f>
        <v>#N/A</v>
      </c>
      <c r="E12" s="99" t="e">
        <f>VLOOKUP('Быстрый поиск по коду'!B12,ИСХОДНИК!A:N,14,FALSE())</f>
        <v>#N/A</v>
      </c>
      <c r="F12" s="100">
        <v>1</v>
      </c>
      <c r="G12" s="101" t="e">
        <f>VLOOKUP(B12,ИСХОДНИК!A:P,15,FALSE())</f>
        <v>#N/A</v>
      </c>
      <c r="H12" s="102" t="e">
        <f t="shared" ref="H12:H43" si="0">D12*(1-$C$3)*F12</f>
        <v>#N/A</v>
      </c>
      <c r="I12" s="102" t="e">
        <f t="shared" ref="I12:I43" si="1">D12*(1-$C$3)*F12</f>
        <v>#N/A</v>
      </c>
      <c r="J12" s="103" t="e">
        <f t="shared" ref="J12:J43" si="2">I12*$D$3</f>
        <v>#N/A</v>
      </c>
      <c r="K12" s="104" t="e">
        <f>IF(VLOOKUP(B12,ИСХОДНИК!A:R,18,FALSE())=1,ИСХОДНИК!$T$2,IF(VLOOKUP(B12,ИСХОДНИК!A:R,18,FALSE())=2,ИСХОДНИК!$T$5,IF(VLOOKUP(B12,ИСХОДНИК!A:R,18,FALSE())=3,ИСХОДНИК!$T$6)))</f>
        <v>#N/A</v>
      </c>
      <c r="L12" s="105" t="e">
        <f>VLOOKUP(B12,ИСХОДНИК!A:N,7,FALSE())</f>
        <v>#N/A</v>
      </c>
      <c r="M12" s="105" t="e">
        <f>VLOOKUP(B12,ИСХОДНИК!A:N,8,FALSE())</f>
        <v>#N/A</v>
      </c>
      <c r="N12" s="105" t="e">
        <f>VLOOKUP(B12,ИСХОДНИК!A:N,9,FALSE())</f>
        <v>#N/A</v>
      </c>
      <c r="O12" s="98" t="e">
        <f>VLOOKUP(B12,ИСХОДНИК!A:N,10,FALSE())</f>
        <v>#N/A</v>
      </c>
      <c r="P12" s="98" t="e">
        <f>VLOOKUP(B12,ИСХОДНИК!A:N,11,FALSE())</f>
        <v>#N/A</v>
      </c>
    </row>
    <row r="13" spans="1:18" ht="17.5">
      <c r="B13" s="97"/>
      <c r="C13" s="98" t="e">
        <f>VLOOKUP(B13,ИСХОДНИК!A:N,3,FALSE())</f>
        <v>#N/A</v>
      </c>
      <c r="D13" s="99" t="e">
        <f>VLOOKUP('Быстрый поиск по коду'!B13,ИСХОДНИК!A:N,13,FALSE())</f>
        <v>#N/A</v>
      </c>
      <c r="E13" s="99" t="e">
        <f>VLOOKUP('Быстрый поиск по коду'!B13,ИСХОДНИК!A:N,14,FALSE())</f>
        <v>#N/A</v>
      </c>
      <c r="F13" s="100">
        <v>1</v>
      </c>
      <c r="G13" s="101" t="e">
        <f>VLOOKUP(B13,ИСХОДНИК!A:P,15,FALSE())</f>
        <v>#N/A</v>
      </c>
      <c r="H13" s="102" t="e">
        <f t="shared" si="0"/>
        <v>#N/A</v>
      </c>
      <c r="I13" s="102" t="e">
        <f t="shared" si="1"/>
        <v>#N/A</v>
      </c>
      <c r="J13" s="103" t="e">
        <f t="shared" si="2"/>
        <v>#N/A</v>
      </c>
      <c r="K13" s="104" t="e">
        <f>IF(VLOOKUP(B13,ИСХОДНИК!A:R,18,FALSE())=1,ИСХОДНИК!$T$2,IF(VLOOKUP(B13,ИСХОДНИК!A:R,18,FALSE())=2,ИСХОДНИК!$T$5,IF(VLOOKUP(B13,ИСХОДНИК!A:R,18,FALSE())=3,ИСХОДНИК!$T$6)))</f>
        <v>#N/A</v>
      </c>
      <c r="L13" s="105" t="e">
        <f>VLOOKUP(B13,ИСХОДНИК!A:N,7,FALSE())</f>
        <v>#N/A</v>
      </c>
      <c r="M13" s="105" t="e">
        <f>VLOOKUP(B13,ИСХОДНИК!A:N,8,FALSE())</f>
        <v>#N/A</v>
      </c>
      <c r="N13" s="105" t="e">
        <f>VLOOKUP(B13,ИСХОДНИК!A:N,9,FALSE())</f>
        <v>#N/A</v>
      </c>
      <c r="O13" s="98" t="e">
        <f>VLOOKUP(B13,ИСХОДНИК!A:N,10,FALSE())</f>
        <v>#N/A</v>
      </c>
      <c r="P13" s="98" t="e">
        <f>VLOOKUP(B13,ИСХОДНИК!A:N,11,FALSE())</f>
        <v>#N/A</v>
      </c>
    </row>
    <row r="14" spans="1:18" ht="17.5">
      <c r="B14" s="97"/>
      <c r="C14" s="98" t="e">
        <f>VLOOKUP(B14,ИСХОДНИК!A:N,3,FALSE())</f>
        <v>#N/A</v>
      </c>
      <c r="D14" s="99" t="e">
        <f>VLOOKUP('Быстрый поиск по коду'!B14,ИСХОДНИК!A:N,13,FALSE())</f>
        <v>#N/A</v>
      </c>
      <c r="E14" s="99" t="e">
        <f>VLOOKUP('Быстрый поиск по коду'!B14,ИСХОДНИК!A:N,14,FALSE())</f>
        <v>#N/A</v>
      </c>
      <c r="F14" s="100">
        <v>1</v>
      </c>
      <c r="G14" s="101" t="e">
        <f>VLOOKUP(B14,ИСХОДНИК!A:P,15,FALSE())</f>
        <v>#N/A</v>
      </c>
      <c r="H14" s="102" t="e">
        <f t="shared" si="0"/>
        <v>#N/A</v>
      </c>
      <c r="I14" s="102" t="e">
        <f t="shared" si="1"/>
        <v>#N/A</v>
      </c>
      <c r="J14" s="103" t="e">
        <f t="shared" si="2"/>
        <v>#N/A</v>
      </c>
      <c r="K14" s="104" t="e">
        <f>IF(VLOOKUP(B14,ИСХОДНИК!A:R,18,FALSE())=1,ИСХОДНИК!$T$2,IF(VLOOKUP(B14,ИСХОДНИК!A:R,18,FALSE())=2,ИСХОДНИК!$T$5,IF(VLOOKUP(B14,ИСХОДНИК!A:R,18,FALSE())=3,ИСХОДНИК!$T$6)))</f>
        <v>#N/A</v>
      </c>
      <c r="L14" s="105" t="e">
        <f>VLOOKUP(B14,ИСХОДНИК!A:N,7,FALSE())</f>
        <v>#N/A</v>
      </c>
      <c r="M14" s="105" t="e">
        <f>VLOOKUP(B14,ИСХОДНИК!A:N,8,FALSE())</f>
        <v>#N/A</v>
      </c>
      <c r="N14" s="105" t="e">
        <f>VLOOKUP(B14,ИСХОДНИК!A:N,9,FALSE())</f>
        <v>#N/A</v>
      </c>
      <c r="O14" s="98" t="e">
        <f>VLOOKUP(B14,ИСХОДНИК!A:N,10,FALSE())</f>
        <v>#N/A</v>
      </c>
      <c r="P14" s="98" t="e">
        <f>VLOOKUP(B14,ИСХОДНИК!A:N,11,FALSE())</f>
        <v>#N/A</v>
      </c>
    </row>
    <row r="15" spans="1:18" ht="21.75" customHeight="1">
      <c r="B15" s="97"/>
      <c r="C15" s="98" t="e">
        <f>VLOOKUP(B15,ИСХОДНИК!A:N,3,FALSE())</f>
        <v>#N/A</v>
      </c>
      <c r="D15" s="99" t="e">
        <f>VLOOKUP('Быстрый поиск по коду'!B15,ИСХОДНИК!A:N,13,FALSE())</f>
        <v>#N/A</v>
      </c>
      <c r="E15" s="99" t="e">
        <f>VLOOKUP('Быстрый поиск по коду'!B15,ИСХОДНИК!A:N,14,FALSE())</f>
        <v>#N/A</v>
      </c>
      <c r="F15" s="100">
        <v>1</v>
      </c>
      <c r="G15" s="101" t="e">
        <f>VLOOKUP(B15,ИСХОДНИК!A:P,15,FALSE())</f>
        <v>#N/A</v>
      </c>
      <c r="H15" s="102" t="e">
        <f t="shared" si="0"/>
        <v>#N/A</v>
      </c>
      <c r="I15" s="102" t="e">
        <f t="shared" si="1"/>
        <v>#N/A</v>
      </c>
      <c r="J15" s="103" t="e">
        <f t="shared" si="2"/>
        <v>#N/A</v>
      </c>
      <c r="K15" s="104" t="e">
        <f>IF(VLOOKUP(B15,ИСХОДНИК!A:R,18,FALSE())=1,ИСХОДНИК!$T$2,IF(VLOOKUP(B15,ИСХОДНИК!A:R,18,FALSE())=2,ИСХОДНИК!$T$5,IF(VLOOKUP(B15,ИСХОДНИК!A:R,18,FALSE())=3,ИСХОДНИК!$T$6)))</f>
        <v>#N/A</v>
      </c>
      <c r="L15" s="105" t="e">
        <f>VLOOKUP(B15,ИСХОДНИК!A:N,7,FALSE())</f>
        <v>#N/A</v>
      </c>
      <c r="M15" s="105" t="e">
        <f>VLOOKUP(B15,ИСХОДНИК!A:N,8,FALSE())</f>
        <v>#N/A</v>
      </c>
      <c r="N15" s="105" t="e">
        <f>VLOOKUP(B15,ИСХОДНИК!A:N,9,FALSE())</f>
        <v>#N/A</v>
      </c>
      <c r="O15" s="98" t="e">
        <f>VLOOKUP(B15,ИСХОДНИК!A:N,10,FALSE())</f>
        <v>#N/A</v>
      </c>
      <c r="P15" s="98" t="e">
        <f>VLOOKUP(B15,ИСХОДНИК!A:N,11,FALSE())</f>
        <v>#N/A</v>
      </c>
    </row>
    <row r="16" spans="1:18" ht="17.5">
      <c r="B16" s="97"/>
      <c r="C16" s="98" t="e">
        <f>VLOOKUP(B16,ИСХОДНИК!A:N,3,FALSE())</f>
        <v>#N/A</v>
      </c>
      <c r="D16" s="99" t="e">
        <f>VLOOKUP('Быстрый поиск по коду'!B16,ИСХОДНИК!A:N,13,FALSE())</f>
        <v>#N/A</v>
      </c>
      <c r="E16" s="99" t="e">
        <f>VLOOKUP('Быстрый поиск по коду'!B16,ИСХОДНИК!A:N,14,FALSE())</f>
        <v>#N/A</v>
      </c>
      <c r="F16" s="100">
        <v>1</v>
      </c>
      <c r="G16" s="101" t="e">
        <f>VLOOKUP(B16,ИСХОДНИК!A:P,15,FALSE())</f>
        <v>#N/A</v>
      </c>
      <c r="H16" s="102" t="e">
        <f t="shared" si="0"/>
        <v>#N/A</v>
      </c>
      <c r="I16" s="102" t="e">
        <f t="shared" si="1"/>
        <v>#N/A</v>
      </c>
      <c r="J16" s="103" t="e">
        <f t="shared" si="2"/>
        <v>#N/A</v>
      </c>
      <c r="K16" s="104" t="e">
        <f>IF(VLOOKUP(B16,ИСХОДНИК!A:R,18,FALSE())=1,ИСХОДНИК!$T$2,IF(VLOOKUP(B16,ИСХОДНИК!A:R,18,FALSE())=2,ИСХОДНИК!$T$5,IF(VLOOKUP(B16,ИСХОДНИК!A:R,18,FALSE())=3,ИСХОДНИК!$T$6)))</f>
        <v>#N/A</v>
      </c>
      <c r="L16" s="105" t="e">
        <f>VLOOKUP(B16,ИСХОДНИК!A:N,7,FALSE())</f>
        <v>#N/A</v>
      </c>
      <c r="M16" s="105" t="e">
        <f>VLOOKUP(B16,ИСХОДНИК!A:N,8,FALSE())</f>
        <v>#N/A</v>
      </c>
      <c r="N16" s="105" t="e">
        <f>VLOOKUP(B16,ИСХОДНИК!A:N,9,FALSE())</f>
        <v>#N/A</v>
      </c>
      <c r="O16" s="98" t="e">
        <f>VLOOKUP(B16,ИСХОДНИК!A:N,10,FALSE())</f>
        <v>#N/A</v>
      </c>
      <c r="P16" s="98" t="e">
        <f>VLOOKUP(B16,ИСХОДНИК!A:N,11,FALSE())</f>
        <v>#N/A</v>
      </c>
    </row>
    <row r="17" spans="2:16" ht="17.5">
      <c r="B17" s="97"/>
      <c r="C17" s="98" t="e">
        <f>VLOOKUP(B17,ИСХОДНИК!A:N,3,FALSE())</f>
        <v>#N/A</v>
      </c>
      <c r="D17" s="99" t="e">
        <f>VLOOKUP('Быстрый поиск по коду'!B17,ИСХОДНИК!A:N,13,FALSE())</f>
        <v>#N/A</v>
      </c>
      <c r="E17" s="99" t="e">
        <f>VLOOKUP('Быстрый поиск по коду'!B17,ИСХОДНИК!A:N,14,FALSE())</f>
        <v>#N/A</v>
      </c>
      <c r="F17" s="100">
        <v>1</v>
      </c>
      <c r="G17" s="101" t="e">
        <f>VLOOKUP(B17,ИСХОДНИК!A:P,15,FALSE())</f>
        <v>#N/A</v>
      </c>
      <c r="H17" s="102" t="e">
        <f t="shared" si="0"/>
        <v>#N/A</v>
      </c>
      <c r="I17" s="102" t="e">
        <f t="shared" si="1"/>
        <v>#N/A</v>
      </c>
      <c r="J17" s="103" t="e">
        <f t="shared" si="2"/>
        <v>#N/A</v>
      </c>
      <c r="K17" s="104" t="e">
        <f>IF(VLOOKUP(B17,ИСХОДНИК!A:R,18,FALSE())=1,ИСХОДНИК!$T$2,IF(VLOOKUP(B17,ИСХОДНИК!A:R,18,FALSE())=2,ИСХОДНИК!$T$5,IF(VLOOKUP(B17,ИСХОДНИК!A:R,18,FALSE())=3,ИСХОДНИК!$T$6)))</f>
        <v>#N/A</v>
      </c>
      <c r="L17" s="105" t="e">
        <f>VLOOKUP(B17,ИСХОДНИК!A:N,7,FALSE())</f>
        <v>#N/A</v>
      </c>
      <c r="M17" s="105" t="e">
        <f>VLOOKUP(B17,ИСХОДНИК!A:N,8,FALSE())</f>
        <v>#N/A</v>
      </c>
      <c r="N17" s="105" t="e">
        <f>VLOOKUP(B17,ИСХОДНИК!A:N,9,FALSE())</f>
        <v>#N/A</v>
      </c>
      <c r="O17" s="98" t="e">
        <f>VLOOKUP(B17,ИСХОДНИК!A:N,10,FALSE())</f>
        <v>#N/A</v>
      </c>
      <c r="P17" s="98" t="e">
        <f>VLOOKUP(B17,ИСХОДНИК!A:N,11,FALSE())</f>
        <v>#N/A</v>
      </c>
    </row>
    <row r="18" spans="2:16" ht="17.5">
      <c r="B18" s="97" t="s">
        <v>86</v>
      </c>
      <c r="C18" s="98" t="e">
        <f>VLOOKUP(B18,ИСХОДНИК!A:N,3,FALSE())</f>
        <v>#N/A</v>
      </c>
      <c r="D18" s="99" t="e">
        <f>VLOOKUP('Быстрый поиск по коду'!B18,ИСХОДНИК!A:N,13,FALSE())</f>
        <v>#N/A</v>
      </c>
      <c r="E18" s="99" t="e">
        <f>VLOOKUP('Быстрый поиск по коду'!B18,ИСХОДНИК!A:N,14,FALSE())</f>
        <v>#N/A</v>
      </c>
      <c r="F18" s="100">
        <v>1</v>
      </c>
      <c r="G18" s="101" t="e">
        <f>VLOOKUP(B18,ИСХОДНИК!A:P,15,FALSE())</f>
        <v>#N/A</v>
      </c>
      <c r="H18" s="102" t="e">
        <f t="shared" si="0"/>
        <v>#N/A</v>
      </c>
      <c r="I18" s="102" t="e">
        <f t="shared" si="1"/>
        <v>#N/A</v>
      </c>
      <c r="J18" s="103" t="e">
        <f t="shared" si="2"/>
        <v>#N/A</v>
      </c>
      <c r="K18" s="104" t="e">
        <f>IF(VLOOKUP(B18,ИСХОДНИК!A:R,18,FALSE())=1,ИСХОДНИК!$T$2,IF(VLOOKUP(B18,ИСХОДНИК!A:R,18,FALSE())=2,ИСХОДНИК!$T$5,IF(VLOOKUP(B18,ИСХОДНИК!A:R,18,FALSE())=3,ИСХОДНИК!$T$6)))</f>
        <v>#N/A</v>
      </c>
      <c r="L18" s="105" t="e">
        <f>VLOOKUP(B18,ИСХОДНИК!A:N,7,FALSE())</f>
        <v>#N/A</v>
      </c>
      <c r="M18" s="105" t="e">
        <f>VLOOKUP(B18,ИСХОДНИК!A:N,8,FALSE())</f>
        <v>#N/A</v>
      </c>
      <c r="N18" s="105" t="e">
        <f>VLOOKUP(B18,ИСХОДНИК!A:N,9,FALSE())</f>
        <v>#N/A</v>
      </c>
      <c r="O18" s="98" t="e">
        <f>VLOOKUP(B18,ИСХОДНИК!A:N,10,FALSE())</f>
        <v>#N/A</v>
      </c>
      <c r="P18" s="98" t="e">
        <f>VLOOKUP(B18,ИСХОДНИК!A:N,11,FALSE())</f>
        <v>#N/A</v>
      </c>
    </row>
    <row r="19" spans="2:16" ht="17.5">
      <c r="B19" s="97" t="s">
        <v>86</v>
      </c>
      <c r="C19" s="98" t="e">
        <f>VLOOKUP(B19,ИСХОДНИК!A:N,3,FALSE())</f>
        <v>#N/A</v>
      </c>
      <c r="D19" s="99" t="e">
        <f>VLOOKUP('Быстрый поиск по коду'!B19,ИСХОДНИК!A:N,13,FALSE())</f>
        <v>#N/A</v>
      </c>
      <c r="E19" s="99" t="e">
        <f>VLOOKUP('Быстрый поиск по коду'!B19,ИСХОДНИК!A:N,14,FALSE())</f>
        <v>#N/A</v>
      </c>
      <c r="F19" s="100">
        <v>1</v>
      </c>
      <c r="G19" s="101" t="e">
        <f>VLOOKUP(B19,ИСХОДНИК!A:P,15,FALSE())</f>
        <v>#N/A</v>
      </c>
      <c r="H19" s="102" t="e">
        <f t="shared" si="0"/>
        <v>#N/A</v>
      </c>
      <c r="I19" s="102" t="e">
        <f t="shared" si="1"/>
        <v>#N/A</v>
      </c>
      <c r="J19" s="103" t="e">
        <f t="shared" si="2"/>
        <v>#N/A</v>
      </c>
      <c r="K19" s="104" t="e">
        <f>IF(VLOOKUP(B19,ИСХОДНИК!A:R,18,FALSE())=1,ИСХОДНИК!$T$2,IF(VLOOKUP(B19,ИСХОДНИК!A:R,18,FALSE())=2,ИСХОДНИК!$T$5,IF(VLOOKUP(B19,ИСХОДНИК!A:R,18,FALSE())=3,ИСХОДНИК!$T$6)))</f>
        <v>#N/A</v>
      </c>
      <c r="L19" s="105" t="e">
        <f>VLOOKUP(B19,ИСХОДНИК!A:N,7,FALSE())</f>
        <v>#N/A</v>
      </c>
      <c r="M19" s="105" t="e">
        <f>VLOOKUP(B19,ИСХОДНИК!A:N,8,FALSE())</f>
        <v>#N/A</v>
      </c>
      <c r="N19" s="105" t="e">
        <f>VLOOKUP(B19,ИСХОДНИК!A:N,9,FALSE())</f>
        <v>#N/A</v>
      </c>
      <c r="O19" s="98" t="e">
        <f>VLOOKUP(B19,ИСХОДНИК!A:N,10,FALSE())</f>
        <v>#N/A</v>
      </c>
      <c r="P19" s="98" t="e">
        <f>VLOOKUP(B19,ИСХОДНИК!A:N,11,FALSE())</f>
        <v>#N/A</v>
      </c>
    </row>
    <row r="20" spans="2:16" ht="17.5">
      <c r="B20" s="97" t="s">
        <v>86</v>
      </c>
      <c r="C20" s="98" t="e">
        <f>VLOOKUP(B20,ИСХОДНИК!A:N,3,FALSE())</f>
        <v>#N/A</v>
      </c>
      <c r="D20" s="99" t="e">
        <f>VLOOKUP('Быстрый поиск по коду'!B20,ИСХОДНИК!A:N,13,FALSE())</f>
        <v>#N/A</v>
      </c>
      <c r="E20" s="99" t="e">
        <f>VLOOKUP('Быстрый поиск по коду'!B20,ИСХОДНИК!A:N,14,FALSE())</f>
        <v>#N/A</v>
      </c>
      <c r="F20" s="100">
        <v>1</v>
      </c>
      <c r="G20" s="101" t="e">
        <f>VLOOKUP(B20,ИСХОДНИК!A:P,15,FALSE())</f>
        <v>#N/A</v>
      </c>
      <c r="H20" s="102" t="e">
        <f t="shared" si="0"/>
        <v>#N/A</v>
      </c>
      <c r="I20" s="102" t="e">
        <f t="shared" si="1"/>
        <v>#N/A</v>
      </c>
      <c r="J20" s="103" t="e">
        <f t="shared" si="2"/>
        <v>#N/A</v>
      </c>
      <c r="K20" s="104" t="e">
        <f>IF(VLOOKUP(B20,ИСХОДНИК!A:R,18,FALSE())=1,ИСХОДНИК!$T$2,IF(VLOOKUP(B20,ИСХОДНИК!A:R,18,FALSE())=2,ИСХОДНИК!$T$5,IF(VLOOKUP(B20,ИСХОДНИК!A:R,18,FALSE())=3,ИСХОДНИК!$T$6)))</f>
        <v>#N/A</v>
      </c>
      <c r="L20" s="105" t="e">
        <f>VLOOKUP(B20,ИСХОДНИК!A:N,7,FALSE())</f>
        <v>#N/A</v>
      </c>
      <c r="M20" s="105" t="e">
        <f>VLOOKUP(B20,ИСХОДНИК!A:N,8,FALSE())</f>
        <v>#N/A</v>
      </c>
      <c r="N20" s="105" t="e">
        <f>VLOOKUP(B20,ИСХОДНИК!A:N,9,FALSE())</f>
        <v>#N/A</v>
      </c>
      <c r="O20" s="98" t="e">
        <f>VLOOKUP(B20,ИСХОДНИК!A:N,10,FALSE())</f>
        <v>#N/A</v>
      </c>
      <c r="P20" s="98" t="e">
        <f>VLOOKUP(B20,ИСХОДНИК!A:N,11,FALSE())</f>
        <v>#N/A</v>
      </c>
    </row>
    <row r="21" spans="2:16" ht="17.5">
      <c r="B21" s="97" t="s">
        <v>86</v>
      </c>
      <c r="C21" s="98" t="e">
        <f>VLOOKUP(B21,ИСХОДНИК!A:N,3,FALSE())</f>
        <v>#N/A</v>
      </c>
      <c r="D21" s="99" t="e">
        <f>VLOOKUP('Быстрый поиск по коду'!B21,ИСХОДНИК!A:N,13,FALSE())</f>
        <v>#N/A</v>
      </c>
      <c r="E21" s="99" t="e">
        <f>VLOOKUP('Быстрый поиск по коду'!B21,ИСХОДНИК!A:N,14,FALSE())</f>
        <v>#N/A</v>
      </c>
      <c r="F21" s="100">
        <v>1</v>
      </c>
      <c r="G21" s="101" t="e">
        <f>VLOOKUP(B21,ИСХОДНИК!A:P,15,FALSE())</f>
        <v>#N/A</v>
      </c>
      <c r="H21" s="102" t="e">
        <f t="shared" si="0"/>
        <v>#N/A</v>
      </c>
      <c r="I21" s="102" t="e">
        <f t="shared" si="1"/>
        <v>#N/A</v>
      </c>
      <c r="J21" s="103" t="e">
        <f t="shared" si="2"/>
        <v>#N/A</v>
      </c>
      <c r="K21" s="104" t="e">
        <f>IF(VLOOKUP(B21,ИСХОДНИК!A:R,18,FALSE())=1,ИСХОДНИК!$T$2,IF(VLOOKUP(B21,ИСХОДНИК!A:R,18,FALSE())=2,ИСХОДНИК!$T$5,IF(VLOOKUP(B21,ИСХОДНИК!A:R,18,FALSE())=3,ИСХОДНИК!$T$6)))</f>
        <v>#N/A</v>
      </c>
      <c r="L21" s="105" t="e">
        <f>VLOOKUP(B21,ИСХОДНИК!A:N,7,FALSE())</f>
        <v>#N/A</v>
      </c>
      <c r="M21" s="105" t="e">
        <f>VLOOKUP(B21,ИСХОДНИК!A:N,8,FALSE())</f>
        <v>#N/A</v>
      </c>
      <c r="N21" s="105" t="e">
        <f>VLOOKUP(B21,ИСХОДНИК!A:N,9,FALSE())</f>
        <v>#N/A</v>
      </c>
      <c r="O21" s="98" t="e">
        <f>VLOOKUP(B21,ИСХОДНИК!A:N,10,FALSE())</f>
        <v>#N/A</v>
      </c>
      <c r="P21" s="98" t="e">
        <f>VLOOKUP(B21,ИСХОДНИК!A:N,11,FALSE())</f>
        <v>#N/A</v>
      </c>
    </row>
    <row r="22" spans="2:16" ht="17.5">
      <c r="B22" s="97" t="s">
        <v>86</v>
      </c>
      <c r="C22" s="98" t="e">
        <f>VLOOKUP(B22,ИСХОДНИК!A:N,3,FALSE())</f>
        <v>#N/A</v>
      </c>
      <c r="D22" s="99" t="e">
        <f>VLOOKUP('Быстрый поиск по коду'!B22,ИСХОДНИК!A:N,13,FALSE())</f>
        <v>#N/A</v>
      </c>
      <c r="E22" s="99" t="e">
        <f>VLOOKUP('Быстрый поиск по коду'!B22,ИСХОДНИК!A:N,14,FALSE())</f>
        <v>#N/A</v>
      </c>
      <c r="F22" s="100">
        <v>1</v>
      </c>
      <c r="G22" s="101" t="e">
        <f>VLOOKUP(B22,ИСХОДНИК!A:P,15,FALSE())</f>
        <v>#N/A</v>
      </c>
      <c r="H22" s="102" t="e">
        <f t="shared" si="0"/>
        <v>#N/A</v>
      </c>
      <c r="I22" s="102" t="e">
        <f t="shared" si="1"/>
        <v>#N/A</v>
      </c>
      <c r="J22" s="103" t="e">
        <f t="shared" si="2"/>
        <v>#N/A</v>
      </c>
      <c r="K22" s="104" t="e">
        <f>IF(VLOOKUP(B22,ИСХОДНИК!A:R,18,FALSE())=1,ИСХОДНИК!$T$2,IF(VLOOKUP(B22,ИСХОДНИК!A:R,18,FALSE())=2,ИСХОДНИК!$T$5,IF(VLOOKUP(B22,ИСХОДНИК!A:R,18,FALSE())=3,ИСХОДНИК!$T$6)))</f>
        <v>#N/A</v>
      </c>
      <c r="L22" s="105" t="e">
        <f>VLOOKUP(B22,ИСХОДНИК!A:N,7,FALSE())</f>
        <v>#N/A</v>
      </c>
      <c r="M22" s="105" t="e">
        <f>VLOOKUP(B22,ИСХОДНИК!A:N,8,FALSE())</f>
        <v>#N/A</v>
      </c>
      <c r="N22" s="105" t="e">
        <f>VLOOKUP(B22,ИСХОДНИК!A:N,9,FALSE())</f>
        <v>#N/A</v>
      </c>
      <c r="O22" s="98" t="e">
        <f>VLOOKUP(B22,ИСХОДНИК!A:N,10,FALSE())</f>
        <v>#N/A</v>
      </c>
      <c r="P22" s="98" t="e">
        <f>VLOOKUP(B22,ИСХОДНИК!A:N,11,FALSE())</f>
        <v>#N/A</v>
      </c>
    </row>
    <row r="23" spans="2:16" ht="17.5">
      <c r="B23" s="97" t="s">
        <v>86</v>
      </c>
      <c r="C23" s="98" t="e">
        <f>VLOOKUP(B23,ИСХОДНИК!A:N,3,FALSE())</f>
        <v>#N/A</v>
      </c>
      <c r="D23" s="99" t="e">
        <f>VLOOKUP('Быстрый поиск по коду'!B23,ИСХОДНИК!A:N,13,FALSE())</f>
        <v>#N/A</v>
      </c>
      <c r="E23" s="99" t="e">
        <f>VLOOKUP('Быстрый поиск по коду'!B23,ИСХОДНИК!A:N,14,FALSE())</f>
        <v>#N/A</v>
      </c>
      <c r="F23" s="100">
        <v>1</v>
      </c>
      <c r="G23" s="101" t="e">
        <f>VLOOKUP(B23,ИСХОДНИК!A:P,15,FALSE())</f>
        <v>#N/A</v>
      </c>
      <c r="H23" s="102" t="e">
        <f t="shared" si="0"/>
        <v>#N/A</v>
      </c>
      <c r="I23" s="102" t="e">
        <f t="shared" si="1"/>
        <v>#N/A</v>
      </c>
      <c r="J23" s="103" t="e">
        <f t="shared" si="2"/>
        <v>#N/A</v>
      </c>
      <c r="K23" s="104" t="e">
        <f>IF(VLOOKUP(B23,ИСХОДНИК!A:R,18,FALSE())=1,ИСХОДНИК!$T$2,IF(VLOOKUP(B23,ИСХОДНИК!A:R,18,FALSE())=2,ИСХОДНИК!$T$5,IF(VLOOKUP(B23,ИСХОДНИК!A:R,18,FALSE())=3,ИСХОДНИК!$T$6)))</f>
        <v>#N/A</v>
      </c>
      <c r="L23" s="105" t="e">
        <f>VLOOKUP(B23,ИСХОДНИК!A:N,7,FALSE())</f>
        <v>#N/A</v>
      </c>
      <c r="M23" s="105" t="e">
        <f>VLOOKUP(B23,ИСХОДНИК!A:N,8,FALSE())</f>
        <v>#N/A</v>
      </c>
      <c r="N23" s="105" t="e">
        <f>VLOOKUP(B23,ИСХОДНИК!A:N,9,FALSE())</f>
        <v>#N/A</v>
      </c>
      <c r="O23" s="98" t="e">
        <f>VLOOKUP(B23,ИСХОДНИК!A:N,10,FALSE())</f>
        <v>#N/A</v>
      </c>
      <c r="P23" s="98" t="e">
        <f>VLOOKUP(B23,ИСХОДНИК!A:N,11,FALSE())</f>
        <v>#N/A</v>
      </c>
    </row>
    <row r="24" spans="2:16" ht="17.5">
      <c r="B24" s="97" t="s">
        <v>86</v>
      </c>
      <c r="C24" s="98" t="e">
        <f>VLOOKUP(B24,ИСХОДНИК!A:N,3,FALSE())</f>
        <v>#N/A</v>
      </c>
      <c r="D24" s="99" t="e">
        <f>VLOOKUP('Быстрый поиск по коду'!B24,ИСХОДНИК!A:N,13,FALSE())</f>
        <v>#N/A</v>
      </c>
      <c r="E24" s="99" t="e">
        <f>VLOOKUP('Быстрый поиск по коду'!B24,ИСХОДНИК!A:N,14,FALSE())</f>
        <v>#N/A</v>
      </c>
      <c r="F24" s="100">
        <v>1</v>
      </c>
      <c r="G24" s="101" t="e">
        <f>VLOOKUP(B24,ИСХОДНИК!A:P,15,FALSE())</f>
        <v>#N/A</v>
      </c>
      <c r="H24" s="102" t="e">
        <f t="shared" si="0"/>
        <v>#N/A</v>
      </c>
      <c r="I24" s="102" t="e">
        <f t="shared" si="1"/>
        <v>#N/A</v>
      </c>
      <c r="J24" s="103" t="e">
        <f t="shared" si="2"/>
        <v>#N/A</v>
      </c>
      <c r="K24" s="104" t="e">
        <f>IF(VLOOKUP(B24,ИСХОДНИК!A:R,18,FALSE())=1,ИСХОДНИК!$T$2,IF(VLOOKUP(B24,ИСХОДНИК!A:R,18,FALSE())=2,ИСХОДНИК!$T$5,IF(VLOOKUP(B24,ИСХОДНИК!A:R,18,FALSE())=3,ИСХОДНИК!$T$6)))</f>
        <v>#N/A</v>
      </c>
      <c r="L24" s="105" t="e">
        <f>VLOOKUP(B24,ИСХОДНИК!A:N,7,FALSE())</f>
        <v>#N/A</v>
      </c>
      <c r="M24" s="105" t="e">
        <f>VLOOKUP(B24,ИСХОДНИК!A:N,8,FALSE())</f>
        <v>#N/A</v>
      </c>
      <c r="N24" s="105" t="e">
        <f>VLOOKUP(B24,ИСХОДНИК!A:N,9,FALSE())</f>
        <v>#N/A</v>
      </c>
      <c r="O24" s="98" t="e">
        <f>VLOOKUP(B24,ИСХОДНИК!A:N,10,FALSE())</f>
        <v>#N/A</v>
      </c>
      <c r="P24" s="98" t="e">
        <f>VLOOKUP(B24,ИСХОДНИК!A:N,11,FALSE())</f>
        <v>#N/A</v>
      </c>
    </row>
    <row r="25" spans="2:16" ht="17.5">
      <c r="B25" s="97" t="s">
        <v>86</v>
      </c>
      <c r="C25" s="98" t="e">
        <f>VLOOKUP(B25,ИСХОДНИК!A:N,3,FALSE())</f>
        <v>#N/A</v>
      </c>
      <c r="D25" s="99" t="e">
        <f>VLOOKUP('Быстрый поиск по коду'!B25,ИСХОДНИК!A:N,13,FALSE())</f>
        <v>#N/A</v>
      </c>
      <c r="E25" s="99" t="e">
        <f>VLOOKUP('Быстрый поиск по коду'!B25,ИСХОДНИК!A:N,14,FALSE())</f>
        <v>#N/A</v>
      </c>
      <c r="F25" s="100">
        <v>1</v>
      </c>
      <c r="G25" s="101" t="e">
        <f>VLOOKUP(B25,ИСХОДНИК!A:P,15,FALSE())</f>
        <v>#N/A</v>
      </c>
      <c r="H25" s="102" t="e">
        <f t="shared" si="0"/>
        <v>#N/A</v>
      </c>
      <c r="I25" s="102" t="e">
        <f t="shared" si="1"/>
        <v>#N/A</v>
      </c>
      <c r="J25" s="103" t="e">
        <f t="shared" si="2"/>
        <v>#N/A</v>
      </c>
      <c r="K25" s="104" t="e">
        <f>IF(VLOOKUP(B25,ИСХОДНИК!A:R,18,FALSE())=1,ИСХОДНИК!$T$2,IF(VLOOKUP(B25,ИСХОДНИК!A:R,18,FALSE())=2,ИСХОДНИК!$T$5,IF(VLOOKUP(B25,ИСХОДНИК!A:R,18,FALSE())=3,ИСХОДНИК!$T$6)))</f>
        <v>#N/A</v>
      </c>
      <c r="L25" s="105" t="e">
        <f>VLOOKUP(B25,ИСХОДНИК!A:N,7,FALSE())</f>
        <v>#N/A</v>
      </c>
      <c r="M25" s="105" t="e">
        <f>VLOOKUP(B25,ИСХОДНИК!A:N,8,FALSE())</f>
        <v>#N/A</v>
      </c>
      <c r="N25" s="105" t="e">
        <f>VLOOKUP(B25,ИСХОДНИК!A:N,9,FALSE())</f>
        <v>#N/A</v>
      </c>
      <c r="O25" s="98" t="e">
        <f>VLOOKUP(B25,ИСХОДНИК!A:N,10,FALSE())</f>
        <v>#N/A</v>
      </c>
      <c r="P25" s="98" t="e">
        <f>VLOOKUP(B25,ИСХОДНИК!A:N,11,FALSE())</f>
        <v>#N/A</v>
      </c>
    </row>
    <row r="26" spans="2:16" ht="17.5">
      <c r="B26" s="97" t="s">
        <v>86</v>
      </c>
      <c r="C26" s="98" t="e">
        <f>VLOOKUP(B26,ИСХОДНИК!A:N,3,FALSE())</f>
        <v>#N/A</v>
      </c>
      <c r="D26" s="99" t="e">
        <f>VLOOKUP('Быстрый поиск по коду'!B26,ИСХОДНИК!A:N,13,FALSE())</f>
        <v>#N/A</v>
      </c>
      <c r="E26" s="99" t="e">
        <f>VLOOKUP('Быстрый поиск по коду'!B26,ИСХОДНИК!A:N,14,FALSE())</f>
        <v>#N/A</v>
      </c>
      <c r="F26" s="100">
        <v>1</v>
      </c>
      <c r="G26" s="101" t="e">
        <f>VLOOKUP(B26,ИСХОДНИК!A:P,15,FALSE())</f>
        <v>#N/A</v>
      </c>
      <c r="H26" s="102" t="e">
        <f t="shared" si="0"/>
        <v>#N/A</v>
      </c>
      <c r="I26" s="102" t="e">
        <f t="shared" si="1"/>
        <v>#N/A</v>
      </c>
      <c r="J26" s="103" t="e">
        <f t="shared" si="2"/>
        <v>#N/A</v>
      </c>
      <c r="K26" s="104" t="e">
        <f>IF(VLOOKUP(B26,ИСХОДНИК!A:R,18,FALSE())=1,ИСХОДНИК!$T$2,IF(VLOOKUP(B26,ИСХОДНИК!A:R,18,FALSE())=2,ИСХОДНИК!$T$5,IF(VLOOKUP(B26,ИСХОДНИК!A:R,18,FALSE())=3,ИСХОДНИК!$T$6)))</f>
        <v>#N/A</v>
      </c>
      <c r="L26" s="105" t="e">
        <f>VLOOKUP(B26,ИСХОДНИК!A:N,7,FALSE())</f>
        <v>#N/A</v>
      </c>
      <c r="M26" s="105" t="e">
        <f>VLOOKUP(B26,ИСХОДНИК!A:N,8,FALSE())</f>
        <v>#N/A</v>
      </c>
      <c r="N26" s="105" t="e">
        <f>VLOOKUP(B26,ИСХОДНИК!A:N,9,FALSE())</f>
        <v>#N/A</v>
      </c>
      <c r="O26" s="98" t="e">
        <f>VLOOKUP(B26,ИСХОДНИК!A:N,10,FALSE())</f>
        <v>#N/A</v>
      </c>
      <c r="P26" s="98" t="e">
        <f>VLOOKUP(B26,ИСХОДНИК!A:N,11,FALSE())</f>
        <v>#N/A</v>
      </c>
    </row>
    <row r="27" spans="2:16" ht="17.5">
      <c r="B27" s="97" t="s">
        <v>86</v>
      </c>
      <c r="C27" s="98" t="e">
        <f>VLOOKUP(B27,ИСХОДНИК!A:N,3,FALSE())</f>
        <v>#N/A</v>
      </c>
      <c r="D27" s="99" t="e">
        <f>VLOOKUP('Быстрый поиск по коду'!B27,ИСХОДНИК!A:N,13,FALSE())</f>
        <v>#N/A</v>
      </c>
      <c r="E27" s="99" t="e">
        <f>VLOOKUP('Быстрый поиск по коду'!B27,ИСХОДНИК!A:N,14,FALSE())</f>
        <v>#N/A</v>
      </c>
      <c r="F27" s="100">
        <v>1</v>
      </c>
      <c r="G27" s="101" t="e">
        <f>VLOOKUP(B27,ИСХОДНИК!A:P,15,FALSE())</f>
        <v>#N/A</v>
      </c>
      <c r="H27" s="102" t="e">
        <f t="shared" si="0"/>
        <v>#N/A</v>
      </c>
      <c r="I27" s="102" t="e">
        <f t="shared" si="1"/>
        <v>#N/A</v>
      </c>
      <c r="J27" s="103" t="e">
        <f t="shared" si="2"/>
        <v>#N/A</v>
      </c>
      <c r="K27" s="104" t="e">
        <f>IF(VLOOKUP(B27,ИСХОДНИК!A:R,18,FALSE())=1,ИСХОДНИК!$T$2,IF(VLOOKUP(B27,ИСХОДНИК!A:R,18,FALSE())=2,ИСХОДНИК!$T$5,IF(VLOOKUP(B27,ИСХОДНИК!A:R,18,FALSE())=3,ИСХОДНИК!$T$6)))</f>
        <v>#N/A</v>
      </c>
      <c r="L27" s="105" t="e">
        <f>VLOOKUP(B27,ИСХОДНИК!A:N,7,FALSE())</f>
        <v>#N/A</v>
      </c>
      <c r="M27" s="105" t="e">
        <f>VLOOKUP(B27,ИСХОДНИК!A:N,8,FALSE())</f>
        <v>#N/A</v>
      </c>
      <c r="N27" s="105" t="e">
        <f>VLOOKUP(B27,ИСХОДНИК!A:N,9,FALSE())</f>
        <v>#N/A</v>
      </c>
      <c r="O27" s="98" t="e">
        <f>VLOOKUP(B27,ИСХОДНИК!A:N,10,FALSE())</f>
        <v>#N/A</v>
      </c>
      <c r="P27" s="98" t="e">
        <f>VLOOKUP(B27,ИСХОДНИК!A:N,11,FALSE())</f>
        <v>#N/A</v>
      </c>
    </row>
    <row r="28" spans="2:16" ht="17.5">
      <c r="B28" s="97" t="s">
        <v>86</v>
      </c>
      <c r="C28" s="98" t="e">
        <f>VLOOKUP(B28,ИСХОДНИК!A:N,3,FALSE())</f>
        <v>#N/A</v>
      </c>
      <c r="D28" s="99" t="e">
        <f>VLOOKUP('Быстрый поиск по коду'!B28,ИСХОДНИК!A:N,13,FALSE())</f>
        <v>#N/A</v>
      </c>
      <c r="E28" s="99" t="e">
        <f>VLOOKUP('Быстрый поиск по коду'!B28,ИСХОДНИК!A:N,14,FALSE())</f>
        <v>#N/A</v>
      </c>
      <c r="F28" s="100">
        <v>1</v>
      </c>
      <c r="G28" s="101" t="e">
        <f>VLOOKUP(B28,ИСХОДНИК!A:P,15,FALSE())</f>
        <v>#N/A</v>
      </c>
      <c r="H28" s="102" t="e">
        <f t="shared" si="0"/>
        <v>#N/A</v>
      </c>
      <c r="I28" s="102" t="e">
        <f t="shared" si="1"/>
        <v>#N/A</v>
      </c>
      <c r="J28" s="103" t="e">
        <f t="shared" si="2"/>
        <v>#N/A</v>
      </c>
      <c r="K28" s="104" t="e">
        <f>IF(VLOOKUP(B28,ИСХОДНИК!A:R,18,FALSE())=1,ИСХОДНИК!$T$2,IF(VLOOKUP(B28,ИСХОДНИК!A:R,18,FALSE())=2,ИСХОДНИК!$T$5,IF(VLOOKUP(B28,ИСХОДНИК!A:R,18,FALSE())=3,ИСХОДНИК!$T$6)))</f>
        <v>#N/A</v>
      </c>
      <c r="L28" s="105" t="e">
        <f>VLOOKUP(B28,ИСХОДНИК!A:N,7,FALSE())</f>
        <v>#N/A</v>
      </c>
      <c r="M28" s="105" t="e">
        <f>VLOOKUP(B28,ИСХОДНИК!A:N,8,FALSE())</f>
        <v>#N/A</v>
      </c>
      <c r="N28" s="105" t="e">
        <f>VLOOKUP(B28,ИСХОДНИК!A:N,9,FALSE())</f>
        <v>#N/A</v>
      </c>
      <c r="O28" s="98" t="e">
        <f>VLOOKUP(B28,ИСХОДНИК!A:N,10,FALSE())</f>
        <v>#N/A</v>
      </c>
      <c r="P28" s="98" t="e">
        <f>VLOOKUP(B28,ИСХОДНИК!A:N,11,FALSE())</f>
        <v>#N/A</v>
      </c>
    </row>
    <row r="29" spans="2:16" ht="17.5">
      <c r="B29" s="97" t="s">
        <v>86</v>
      </c>
      <c r="C29" s="98" t="e">
        <f>VLOOKUP(B29,ИСХОДНИК!A:N,3,FALSE())</f>
        <v>#N/A</v>
      </c>
      <c r="D29" s="99" t="e">
        <f>VLOOKUP('Быстрый поиск по коду'!B29,ИСХОДНИК!A:N,13,FALSE())</f>
        <v>#N/A</v>
      </c>
      <c r="E29" s="99" t="e">
        <f>VLOOKUP('Быстрый поиск по коду'!B29,ИСХОДНИК!A:N,14,FALSE())</f>
        <v>#N/A</v>
      </c>
      <c r="F29" s="100">
        <v>1</v>
      </c>
      <c r="G29" s="101" t="e">
        <f>VLOOKUP(B29,ИСХОДНИК!A:P,15,FALSE())</f>
        <v>#N/A</v>
      </c>
      <c r="H29" s="102" t="e">
        <f t="shared" si="0"/>
        <v>#N/A</v>
      </c>
      <c r="I29" s="102" t="e">
        <f t="shared" si="1"/>
        <v>#N/A</v>
      </c>
      <c r="J29" s="103" t="e">
        <f t="shared" si="2"/>
        <v>#N/A</v>
      </c>
      <c r="K29" s="104" t="e">
        <f>IF(VLOOKUP(B29,ИСХОДНИК!A:R,18,FALSE())=1,ИСХОДНИК!$T$2,IF(VLOOKUP(B29,ИСХОДНИК!A:R,18,FALSE())=2,ИСХОДНИК!$T$5,IF(VLOOKUP(B29,ИСХОДНИК!A:R,18,FALSE())=3,ИСХОДНИК!$T$6)))</f>
        <v>#N/A</v>
      </c>
      <c r="L29" s="105" t="e">
        <f>VLOOKUP(B29,ИСХОДНИК!A:N,7,FALSE())</f>
        <v>#N/A</v>
      </c>
      <c r="M29" s="105" t="e">
        <f>VLOOKUP(B29,ИСХОДНИК!A:N,8,FALSE())</f>
        <v>#N/A</v>
      </c>
      <c r="N29" s="105" t="e">
        <f>VLOOKUP(B29,ИСХОДНИК!A:N,9,FALSE())</f>
        <v>#N/A</v>
      </c>
      <c r="O29" s="98" t="e">
        <f>VLOOKUP(B29,ИСХОДНИК!A:N,10,FALSE())</f>
        <v>#N/A</v>
      </c>
      <c r="P29" s="98" t="e">
        <f>VLOOKUP(B29,ИСХОДНИК!A:N,11,FALSE())</f>
        <v>#N/A</v>
      </c>
    </row>
    <row r="30" spans="2:16" ht="17.5">
      <c r="B30" s="97" t="s">
        <v>86</v>
      </c>
      <c r="C30" s="98" t="e">
        <f>VLOOKUP(B30,ИСХОДНИК!A:N,3,FALSE())</f>
        <v>#N/A</v>
      </c>
      <c r="D30" s="99" t="e">
        <f>VLOOKUP('Быстрый поиск по коду'!B30,ИСХОДНИК!A:N,13,FALSE())</f>
        <v>#N/A</v>
      </c>
      <c r="E30" s="99" t="e">
        <f>VLOOKUP('Быстрый поиск по коду'!B30,ИСХОДНИК!A:N,14,FALSE())</f>
        <v>#N/A</v>
      </c>
      <c r="F30" s="100">
        <v>1</v>
      </c>
      <c r="G30" s="101" t="e">
        <f>VLOOKUP(B30,ИСХОДНИК!A:P,15,FALSE())</f>
        <v>#N/A</v>
      </c>
      <c r="H30" s="102" t="e">
        <f t="shared" si="0"/>
        <v>#N/A</v>
      </c>
      <c r="I30" s="102" t="e">
        <f t="shared" si="1"/>
        <v>#N/A</v>
      </c>
      <c r="J30" s="103" t="e">
        <f t="shared" si="2"/>
        <v>#N/A</v>
      </c>
      <c r="K30" s="104" t="e">
        <f>IF(VLOOKUP(B30,ИСХОДНИК!A:R,18,FALSE())=1,ИСХОДНИК!$T$2,IF(VLOOKUP(B30,ИСХОДНИК!A:R,18,FALSE())=2,ИСХОДНИК!$T$5,IF(VLOOKUP(B30,ИСХОДНИК!A:R,18,FALSE())=3,ИСХОДНИК!$T$6)))</f>
        <v>#N/A</v>
      </c>
      <c r="L30" s="105" t="e">
        <f>VLOOKUP(B30,ИСХОДНИК!A:N,7,FALSE())</f>
        <v>#N/A</v>
      </c>
      <c r="M30" s="105" t="e">
        <f>VLOOKUP(B30,ИСХОДНИК!A:N,8,FALSE())</f>
        <v>#N/A</v>
      </c>
      <c r="N30" s="105" t="e">
        <f>VLOOKUP(B30,ИСХОДНИК!A:N,9,FALSE())</f>
        <v>#N/A</v>
      </c>
      <c r="O30" s="98" t="e">
        <f>VLOOKUP(B30,ИСХОДНИК!A:N,10,FALSE())</f>
        <v>#N/A</v>
      </c>
      <c r="P30" s="98" t="e">
        <f>VLOOKUP(B30,ИСХОДНИК!A:N,11,FALSE())</f>
        <v>#N/A</v>
      </c>
    </row>
    <row r="31" spans="2:16" ht="17.5">
      <c r="B31" s="97" t="s">
        <v>86</v>
      </c>
      <c r="C31" s="98" t="e">
        <f>VLOOKUP(B31,ИСХОДНИК!A:N,3,FALSE())</f>
        <v>#N/A</v>
      </c>
      <c r="D31" s="99" t="e">
        <f>VLOOKUP('Быстрый поиск по коду'!B31,ИСХОДНИК!A:N,13,FALSE())</f>
        <v>#N/A</v>
      </c>
      <c r="E31" s="99" t="e">
        <f>VLOOKUP('Быстрый поиск по коду'!B31,ИСХОДНИК!A:N,14,FALSE())</f>
        <v>#N/A</v>
      </c>
      <c r="F31" s="100">
        <v>1</v>
      </c>
      <c r="G31" s="101" t="e">
        <f>VLOOKUP(B31,ИСХОДНИК!A:P,15,FALSE())</f>
        <v>#N/A</v>
      </c>
      <c r="H31" s="102" t="e">
        <f t="shared" si="0"/>
        <v>#N/A</v>
      </c>
      <c r="I31" s="102" t="e">
        <f t="shared" si="1"/>
        <v>#N/A</v>
      </c>
      <c r="J31" s="103" t="e">
        <f t="shared" si="2"/>
        <v>#N/A</v>
      </c>
      <c r="K31" s="104" t="e">
        <f>IF(VLOOKUP(B31,ИСХОДНИК!A:R,18,FALSE())=1,ИСХОДНИК!$T$2,IF(VLOOKUP(B31,ИСХОДНИК!A:R,18,FALSE())=2,ИСХОДНИК!$T$5,IF(VLOOKUP(B31,ИСХОДНИК!A:R,18,FALSE())=3,ИСХОДНИК!$T$6)))</f>
        <v>#N/A</v>
      </c>
      <c r="L31" s="105" t="e">
        <f>VLOOKUP(B31,ИСХОДНИК!A:N,7,FALSE())</f>
        <v>#N/A</v>
      </c>
      <c r="M31" s="105" t="e">
        <f>VLOOKUP(B31,ИСХОДНИК!A:N,8,FALSE())</f>
        <v>#N/A</v>
      </c>
      <c r="N31" s="105" t="e">
        <f>VLOOKUP(B31,ИСХОДНИК!A:N,9,FALSE())</f>
        <v>#N/A</v>
      </c>
      <c r="O31" s="98" t="e">
        <f>VLOOKUP(B31,ИСХОДНИК!A:N,10,FALSE())</f>
        <v>#N/A</v>
      </c>
      <c r="P31" s="98" t="e">
        <f>VLOOKUP(B31,ИСХОДНИК!A:N,11,FALSE())</f>
        <v>#N/A</v>
      </c>
    </row>
    <row r="32" spans="2:16" ht="17.5">
      <c r="B32" s="97" t="s">
        <v>86</v>
      </c>
      <c r="C32" s="98" t="e">
        <f>VLOOKUP(B32,ИСХОДНИК!A:N,3,FALSE())</f>
        <v>#N/A</v>
      </c>
      <c r="D32" s="99" t="e">
        <f>VLOOKUP('Быстрый поиск по коду'!B32,ИСХОДНИК!A:N,13,FALSE())</f>
        <v>#N/A</v>
      </c>
      <c r="E32" s="99" t="e">
        <f>VLOOKUP('Быстрый поиск по коду'!B32,ИСХОДНИК!A:N,14,FALSE())</f>
        <v>#N/A</v>
      </c>
      <c r="F32" s="100">
        <v>1</v>
      </c>
      <c r="G32" s="101" t="e">
        <f>VLOOKUP(B32,ИСХОДНИК!A:P,15,FALSE())</f>
        <v>#N/A</v>
      </c>
      <c r="H32" s="102" t="e">
        <f t="shared" si="0"/>
        <v>#N/A</v>
      </c>
      <c r="I32" s="102" t="e">
        <f t="shared" si="1"/>
        <v>#N/A</v>
      </c>
      <c r="J32" s="103" t="e">
        <f t="shared" si="2"/>
        <v>#N/A</v>
      </c>
      <c r="K32" s="104" t="e">
        <f>IF(VLOOKUP(B32,ИСХОДНИК!A:R,18,FALSE())=1,ИСХОДНИК!$T$2,IF(VLOOKUP(B32,ИСХОДНИК!A:R,18,FALSE())=2,ИСХОДНИК!$T$5,IF(VLOOKUP(B32,ИСХОДНИК!A:R,18,FALSE())=3,ИСХОДНИК!$T$6)))</f>
        <v>#N/A</v>
      </c>
      <c r="L32" s="105" t="e">
        <f>VLOOKUP(B32,ИСХОДНИК!A:N,7,FALSE())</f>
        <v>#N/A</v>
      </c>
      <c r="M32" s="105" t="e">
        <f>VLOOKUP(B32,ИСХОДНИК!A:N,8,FALSE())</f>
        <v>#N/A</v>
      </c>
      <c r="N32" s="105" t="e">
        <f>VLOOKUP(B32,ИСХОДНИК!A:N,9,FALSE())</f>
        <v>#N/A</v>
      </c>
      <c r="O32" s="98" t="e">
        <f>VLOOKUP(B32,ИСХОДНИК!A:N,10,FALSE())</f>
        <v>#N/A</v>
      </c>
      <c r="P32" s="98" t="e">
        <f>VLOOKUP(B32,ИСХОДНИК!A:N,11,FALSE())</f>
        <v>#N/A</v>
      </c>
    </row>
    <row r="33" spans="2:16" ht="17.5">
      <c r="B33" s="97" t="s">
        <v>86</v>
      </c>
      <c r="C33" s="98" t="e">
        <f>VLOOKUP(B33,ИСХОДНИК!A:N,3,FALSE())</f>
        <v>#N/A</v>
      </c>
      <c r="D33" s="99" t="e">
        <f>VLOOKUP('Быстрый поиск по коду'!B33,ИСХОДНИК!A:N,13,FALSE())</f>
        <v>#N/A</v>
      </c>
      <c r="E33" s="99" t="e">
        <f>VLOOKUP('Быстрый поиск по коду'!B33,ИСХОДНИК!A:N,14,FALSE())</f>
        <v>#N/A</v>
      </c>
      <c r="F33" s="100">
        <v>1</v>
      </c>
      <c r="G33" s="101" t="e">
        <f>VLOOKUP(B33,ИСХОДНИК!A:P,15,FALSE())</f>
        <v>#N/A</v>
      </c>
      <c r="H33" s="102" t="e">
        <f t="shared" si="0"/>
        <v>#N/A</v>
      </c>
      <c r="I33" s="102" t="e">
        <f t="shared" si="1"/>
        <v>#N/A</v>
      </c>
      <c r="J33" s="103" t="e">
        <f t="shared" si="2"/>
        <v>#N/A</v>
      </c>
      <c r="K33" s="104" t="e">
        <f>IF(VLOOKUP(B33,ИСХОДНИК!A:R,18,FALSE())=1,ИСХОДНИК!$T$2,IF(VLOOKUP(B33,ИСХОДНИК!A:R,18,FALSE())=2,ИСХОДНИК!$T$5,IF(VLOOKUP(B33,ИСХОДНИК!A:R,18,FALSE())=3,ИСХОДНИК!$T$6)))</f>
        <v>#N/A</v>
      </c>
      <c r="L33" s="105" t="e">
        <f>VLOOKUP(B33,ИСХОДНИК!A:N,7,FALSE())</f>
        <v>#N/A</v>
      </c>
      <c r="M33" s="105" t="e">
        <f>VLOOKUP(B33,ИСХОДНИК!A:N,8,FALSE())</f>
        <v>#N/A</v>
      </c>
      <c r="N33" s="105" t="e">
        <f>VLOOKUP(B33,ИСХОДНИК!A:N,9,FALSE())</f>
        <v>#N/A</v>
      </c>
      <c r="O33" s="98" t="e">
        <f>VLOOKUP(B33,ИСХОДНИК!A:N,10,FALSE())</f>
        <v>#N/A</v>
      </c>
      <c r="P33" s="98" t="e">
        <f>VLOOKUP(B33,ИСХОДНИК!A:N,11,FALSE())</f>
        <v>#N/A</v>
      </c>
    </row>
    <row r="34" spans="2:16" ht="17.5">
      <c r="B34" s="97" t="s">
        <v>86</v>
      </c>
      <c r="C34" s="98" t="e">
        <f>VLOOKUP(B34,ИСХОДНИК!A:N,3,FALSE())</f>
        <v>#N/A</v>
      </c>
      <c r="D34" s="99" t="e">
        <f>VLOOKUP('Быстрый поиск по коду'!B34,ИСХОДНИК!A:N,13,FALSE())</f>
        <v>#N/A</v>
      </c>
      <c r="E34" s="99" t="e">
        <f>VLOOKUP('Быстрый поиск по коду'!B34,ИСХОДНИК!A:N,14,FALSE())</f>
        <v>#N/A</v>
      </c>
      <c r="F34" s="100">
        <v>1</v>
      </c>
      <c r="G34" s="101" t="e">
        <f>VLOOKUP(B34,ИСХОДНИК!A:P,15,FALSE())</f>
        <v>#N/A</v>
      </c>
      <c r="H34" s="102" t="e">
        <f t="shared" si="0"/>
        <v>#N/A</v>
      </c>
      <c r="I34" s="102" t="e">
        <f t="shared" si="1"/>
        <v>#N/A</v>
      </c>
      <c r="J34" s="103" t="e">
        <f t="shared" si="2"/>
        <v>#N/A</v>
      </c>
      <c r="K34" s="104" t="e">
        <f>IF(VLOOKUP(B34,ИСХОДНИК!A:R,18,FALSE())=1,ИСХОДНИК!$T$2,IF(VLOOKUP(B34,ИСХОДНИК!A:R,18,FALSE())=2,ИСХОДНИК!$T$5,IF(VLOOKUP(B34,ИСХОДНИК!A:R,18,FALSE())=3,ИСХОДНИК!$T$6)))</f>
        <v>#N/A</v>
      </c>
      <c r="L34" s="105" t="e">
        <f>VLOOKUP(B34,ИСХОДНИК!A:N,7,FALSE())</f>
        <v>#N/A</v>
      </c>
      <c r="M34" s="105" t="e">
        <f>VLOOKUP(B34,ИСХОДНИК!A:N,8,FALSE())</f>
        <v>#N/A</v>
      </c>
      <c r="N34" s="105" t="e">
        <f>VLOOKUP(B34,ИСХОДНИК!A:N,9,FALSE())</f>
        <v>#N/A</v>
      </c>
      <c r="O34" s="98" t="e">
        <f>VLOOKUP(B34,ИСХОДНИК!A:N,10,FALSE())</f>
        <v>#N/A</v>
      </c>
      <c r="P34" s="98" t="e">
        <f>VLOOKUP(B34,ИСХОДНИК!A:N,11,FALSE())</f>
        <v>#N/A</v>
      </c>
    </row>
    <row r="35" spans="2:16" ht="17.5">
      <c r="B35" s="97" t="s">
        <v>86</v>
      </c>
      <c r="C35" s="98" t="e">
        <f>VLOOKUP(B35,ИСХОДНИК!A:N,3,FALSE())</f>
        <v>#N/A</v>
      </c>
      <c r="D35" s="99" t="e">
        <f>VLOOKUP('Быстрый поиск по коду'!B35,ИСХОДНИК!A:N,13,FALSE())</f>
        <v>#N/A</v>
      </c>
      <c r="E35" s="99" t="e">
        <f>VLOOKUP('Быстрый поиск по коду'!B35,ИСХОДНИК!A:N,14,FALSE())</f>
        <v>#N/A</v>
      </c>
      <c r="F35" s="100">
        <v>1</v>
      </c>
      <c r="G35" s="101" t="e">
        <f>VLOOKUP(B35,ИСХОДНИК!A:P,15,FALSE())</f>
        <v>#N/A</v>
      </c>
      <c r="H35" s="102" t="e">
        <f t="shared" si="0"/>
        <v>#N/A</v>
      </c>
      <c r="I35" s="102" t="e">
        <f t="shared" si="1"/>
        <v>#N/A</v>
      </c>
      <c r="J35" s="103" t="e">
        <f t="shared" si="2"/>
        <v>#N/A</v>
      </c>
      <c r="K35" s="104" t="e">
        <f>IF(VLOOKUP(B35,ИСХОДНИК!A:R,18,FALSE())=1,ИСХОДНИК!$T$2,IF(VLOOKUP(B35,ИСХОДНИК!A:R,18,FALSE())=2,ИСХОДНИК!$T$5,IF(VLOOKUP(B35,ИСХОДНИК!A:R,18,FALSE())=3,ИСХОДНИК!$T$6)))</f>
        <v>#N/A</v>
      </c>
      <c r="L35" s="105" t="e">
        <f>VLOOKUP(B35,ИСХОДНИК!A:N,7,FALSE())</f>
        <v>#N/A</v>
      </c>
      <c r="M35" s="105" t="e">
        <f>VLOOKUP(B35,ИСХОДНИК!A:N,8,FALSE())</f>
        <v>#N/A</v>
      </c>
      <c r="N35" s="105" t="e">
        <f>VLOOKUP(B35,ИСХОДНИК!A:N,9,FALSE())</f>
        <v>#N/A</v>
      </c>
      <c r="O35" s="98" t="e">
        <f>VLOOKUP(B35,ИСХОДНИК!A:N,10,FALSE())</f>
        <v>#N/A</v>
      </c>
      <c r="P35" s="98" t="e">
        <f>VLOOKUP(B35,ИСХОДНИК!A:N,11,FALSE())</f>
        <v>#N/A</v>
      </c>
    </row>
    <row r="36" spans="2:16" ht="17.5">
      <c r="B36" s="97" t="s">
        <v>86</v>
      </c>
      <c r="C36" s="98" t="e">
        <f>VLOOKUP(B36,ИСХОДНИК!A:N,3,FALSE())</f>
        <v>#N/A</v>
      </c>
      <c r="D36" s="99" t="e">
        <f>VLOOKUP('Быстрый поиск по коду'!B36,ИСХОДНИК!A:N,13,FALSE())</f>
        <v>#N/A</v>
      </c>
      <c r="E36" s="99" t="e">
        <f>VLOOKUP('Быстрый поиск по коду'!B36,ИСХОДНИК!A:N,14,FALSE())</f>
        <v>#N/A</v>
      </c>
      <c r="F36" s="100">
        <v>1</v>
      </c>
      <c r="G36" s="101" t="e">
        <f>VLOOKUP(B36,ИСХОДНИК!A:P,15,FALSE())</f>
        <v>#N/A</v>
      </c>
      <c r="H36" s="102" t="e">
        <f t="shared" si="0"/>
        <v>#N/A</v>
      </c>
      <c r="I36" s="102" t="e">
        <f t="shared" si="1"/>
        <v>#N/A</v>
      </c>
      <c r="J36" s="103" t="e">
        <f t="shared" si="2"/>
        <v>#N/A</v>
      </c>
      <c r="K36" s="104" t="e">
        <f>IF(VLOOKUP(B36,ИСХОДНИК!A:R,18,FALSE())=1,ИСХОДНИК!$T$2,IF(VLOOKUP(B36,ИСХОДНИК!A:R,18,FALSE())=2,ИСХОДНИК!$T$5,IF(VLOOKUP(B36,ИСХОДНИК!A:R,18,FALSE())=3,ИСХОДНИК!$T$6)))</f>
        <v>#N/A</v>
      </c>
      <c r="L36" s="105" t="e">
        <f>VLOOKUP(B36,ИСХОДНИК!A:N,7,FALSE())</f>
        <v>#N/A</v>
      </c>
      <c r="M36" s="105" t="e">
        <f>VLOOKUP(B36,ИСХОДНИК!A:N,8,FALSE())</f>
        <v>#N/A</v>
      </c>
      <c r="N36" s="105" t="e">
        <f>VLOOKUP(B36,ИСХОДНИК!A:N,9,FALSE())</f>
        <v>#N/A</v>
      </c>
      <c r="O36" s="98" t="e">
        <f>VLOOKUP(B36,ИСХОДНИК!A:N,10,FALSE())</f>
        <v>#N/A</v>
      </c>
      <c r="P36" s="98" t="e">
        <f>VLOOKUP(B36,ИСХОДНИК!A:N,11,FALSE())</f>
        <v>#N/A</v>
      </c>
    </row>
    <row r="37" spans="2:16" ht="17.5">
      <c r="B37" s="97" t="s">
        <v>86</v>
      </c>
      <c r="C37" s="98" t="e">
        <f>VLOOKUP(B37,ИСХОДНИК!A:N,3,FALSE())</f>
        <v>#N/A</v>
      </c>
      <c r="D37" s="99" t="e">
        <f>VLOOKUP('Быстрый поиск по коду'!B37,ИСХОДНИК!A:N,13,FALSE())</f>
        <v>#N/A</v>
      </c>
      <c r="E37" s="99" t="e">
        <f>VLOOKUP('Быстрый поиск по коду'!B37,ИСХОДНИК!A:N,14,FALSE())</f>
        <v>#N/A</v>
      </c>
      <c r="F37" s="100">
        <v>1</v>
      </c>
      <c r="G37" s="101" t="e">
        <f>VLOOKUP(B37,ИСХОДНИК!A:P,15,FALSE())</f>
        <v>#N/A</v>
      </c>
      <c r="H37" s="102" t="e">
        <f t="shared" si="0"/>
        <v>#N/A</v>
      </c>
      <c r="I37" s="102" t="e">
        <f t="shared" si="1"/>
        <v>#N/A</v>
      </c>
      <c r="J37" s="103" t="e">
        <f t="shared" si="2"/>
        <v>#N/A</v>
      </c>
      <c r="K37" s="104" t="e">
        <f>IF(VLOOKUP(B37,ИСХОДНИК!A:R,18,FALSE())=1,ИСХОДНИК!$T$2,IF(VLOOKUP(B37,ИСХОДНИК!A:R,18,FALSE())=2,ИСХОДНИК!$T$5,IF(VLOOKUP(B37,ИСХОДНИК!A:R,18,FALSE())=3,ИСХОДНИК!$T$6)))</f>
        <v>#N/A</v>
      </c>
      <c r="L37" s="105" t="e">
        <f>VLOOKUP(B37,ИСХОДНИК!A:N,7,FALSE())</f>
        <v>#N/A</v>
      </c>
      <c r="M37" s="105" t="e">
        <f>VLOOKUP(B37,ИСХОДНИК!A:N,8,FALSE())</f>
        <v>#N/A</v>
      </c>
      <c r="N37" s="105" t="e">
        <f>VLOOKUP(B37,ИСХОДНИК!A:N,9,FALSE())</f>
        <v>#N/A</v>
      </c>
      <c r="O37" s="98" t="e">
        <f>VLOOKUP(B37,ИСХОДНИК!A:N,10,FALSE())</f>
        <v>#N/A</v>
      </c>
      <c r="P37" s="98" t="e">
        <f>VLOOKUP(B37,ИСХОДНИК!A:N,11,FALSE())</f>
        <v>#N/A</v>
      </c>
    </row>
    <row r="38" spans="2:16" ht="17.5">
      <c r="B38" s="97" t="s">
        <v>86</v>
      </c>
      <c r="C38" s="98" t="e">
        <f>VLOOKUP(B38,ИСХОДНИК!A:N,3,FALSE())</f>
        <v>#N/A</v>
      </c>
      <c r="D38" s="99" t="e">
        <f>VLOOKUP('Быстрый поиск по коду'!B38,ИСХОДНИК!A:N,13,FALSE())</f>
        <v>#N/A</v>
      </c>
      <c r="E38" s="99" t="e">
        <f>VLOOKUP('Быстрый поиск по коду'!B38,ИСХОДНИК!A:N,14,FALSE())</f>
        <v>#N/A</v>
      </c>
      <c r="F38" s="100">
        <v>1</v>
      </c>
      <c r="G38" s="101" t="e">
        <f>VLOOKUP(B38,ИСХОДНИК!A:P,15,FALSE())</f>
        <v>#N/A</v>
      </c>
      <c r="H38" s="102" t="e">
        <f t="shared" si="0"/>
        <v>#N/A</v>
      </c>
      <c r="I38" s="102" t="e">
        <f t="shared" si="1"/>
        <v>#N/A</v>
      </c>
      <c r="J38" s="103" t="e">
        <f t="shared" si="2"/>
        <v>#N/A</v>
      </c>
      <c r="K38" s="104" t="e">
        <f>IF(VLOOKUP(B38,ИСХОДНИК!A:R,18,FALSE())=1,ИСХОДНИК!$T$2,IF(VLOOKUP(B38,ИСХОДНИК!A:R,18,FALSE())=2,ИСХОДНИК!$T$5,IF(VLOOKUP(B38,ИСХОДНИК!A:R,18,FALSE())=3,ИСХОДНИК!$T$6)))</f>
        <v>#N/A</v>
      </c>
      <c r="L38" s="105" t="e">
        <f>VLOOKUP(B38,ИСХОДНИК!A:N,7,FALSE())</f>
        <v>#N/A</v>
      </c>
      <c r="M38" s="105" t="e">
        <f>VLOOKUP(B38,ИСХОДНИК!A:N,8,FALSE())</f>
        <v>#N/A</v>
      </c>
      <c r="N38" s="105" t="e">
        <f>VLOOKUP(B38,ИСХОДНИК!A:N,9,FALSE())</f>
        <v>#N/A</v>
      </c>
      <c r="O38" s="98" t="e">
        <f>VLOOKUP(B38,ИСХОДНИК!A:N,10,FALSE())</f>
        <v>#N/A</v>
      </c>
      <c r="P38" s="98" t="e">
        <f>VLOOKUP(B38,ИСХОДНИК!A:N,11,FALSE())</f>
        <v>#N/A</v>
      </c>
    </row>
    <row r="39" spans="2:16" ht="17.5">
      <c r="B39" s="97" t="s">
        <v>86</v>
      </c>
      <c r="C39" s="98" t="e">
        <f>VLOOKUP(B39,ИСХОДНИК!A:N,3,FALSE())</f>
        <v>#N/A</v>
      </c>
      <c r="D39" s="99" t="e">
        <f>VLOOKUP('Быстрый поиск по коду'!B39,ИСХОДНИК!A:N,13,FALSE())</f>
        <v>#N/A</v>
      </c>
      <c r="E39" s="99" t="e">
        <f>VLOOKUP('Быстрый поиск по коду'!B39,ИСХОДНИК!A:N,14,FALSE())</f>
        <v>#N/A</v>
      </c>
      <c r="F39" s="100">
        <v>1</v>
      </c>
      <c r="G39" s="101" t="e">
        <f>VLOOKUP(B39,ИСХОДНИК!A:P,15,FALSE())</f>
        <v>#N/A</v>
      </c>
      <c r="H39" s="102" t="e">
        <f t="shared" si="0"/>
        <v>#N/A</v>
      </c>
      <c r="I39" s="102" t="e">
        <f t="shared" si="1"/>
        <v>#N/A</v>
      </c>
      <c r="J39" s="103" t="e">
        <f t="shared" si="2"/>
        <v>#N/A</v>
      </c>
      <c r="K39" s="104" t="e">
        <f>IF(VLOOKUP(B39,ИСХОДНИК!A:R,18,FALSE())=1,ИСХОДНИК!$T$2,IF(VLOOKUP(B39,ИСХОДНИК!A:R,18,FALSE())=2,ИСХОДНИК!$T$5,IF(VLOOKUP(B39,ИСХОДНИК!A:R,18,FALSE())=3,ИСХОДНИК!$T$6)))</f>
        <v>#N/A</v>
      </c>
      <c r="L39" s="105" t="e">
        <f>VLOOKUP(B39,ИСХОДНИК!A:N,7,FALSE())</f>
        <v>#N/A</v>
      </c>
      <c r="M39" s="105" t="e">
        <f>VLOOKUP(B39,ИСХОДНИК!A:N,8,FALSE())</f>
        <v>#N/A</v>
      </c>
      <c r="N39" s="105" t="e">
        <f>VLOOKUP(B39,ИСХОДНИК!A:N,9,FALSE())</f>
        <v>#N/A</v>
      </c>
      <c r="O39" s="98" t="e">
        <f>VLOOKUP(B39,ИСХОДНИК!A:N,10,FALSE())</f>
        <v>#N/A</v>
      </c>
      <c r="P39" s="98" t="e">
        <f>VLOOKUP(B39,ИСХОДНИК!A:N,11,FALSE())</f>
        <v>#N/A</v>
      </c>
    </row>
    <row r="40" spans="2:16" ht="17.5">
      <c r="B40" s="97" t="s">
        <v>86</v>
      </c>
      <c r="C40" s="98" t="e">
        <f>VLOOKUP(B40,ИСХОДНИК!A:N,3,FALSE())</f>
        <v>#N/A</v>
      </c>
      <c r="D40" s="99" t="e">
        <f>VLOOKUP('Быстрый поиск по коду'!B40,ИСХОДНИК!A:N,13,FALSE())</f>
        <v>#N/A</v>
      </c>
      <c r="E40" s="99" t="e">
        <f>VLOOKUP('Быстрый поиск по коду'!B40,ИСХОДНИК!A:N,14,FALSE())</f>
        <v>#N/A</v>
      </c>
      <c r="F40" s="100">
        <v>1</v>
      </c>
      <c r="G40" s="101" t="e">
        <f>VLOOKUP(B40,ИСХОДНИК!A:P,15,FALSE())</f>
        <v>#N/A</v>
      </c>
      <c r="H40" s="102" t="e">
        <f t="shared" si="0"/>
        <v>#N/A</v>
      </c>
      <c r="I40" s="102" t="e">
        <f t="shared" si="1"/>
        <v>#N/A</v>
      </c>
      <c r="J40" s="103" t="e">
        <f t="shared" si="2"/>
        <v>#N/A</v>
      </c>
      <c r="K40" s="104" t="e">
        <f>IF(VLOOKUP(B40,ИСХОДНИК!A:R,18,FALSE())=1,ИСХОДНИК!$T$2,IF(VLOOKUP(B40,ИСХОДНИК!A:R,18,FALSE())=2,ИСХОДНИК!$T$5,IF(VLOOKUP(B40,ИСХОДНИК!A:R,18,FALSE())=3,ИСХОДНИК!$T$6)))</f>
        <v>#N/A</v>
      </c>
      <c r="L40" s="105" t="e">
        <f>VLOOKUP(B40,ИСХОДНИК!A:N,7,FALSE())</f>
        <v>#N/A</v>
      </c>
      <c r="M40" s="105" t="e">
        <f>VLOOKUP(B40,ИСХОДНИК!A:N,8,FALSE())</f>
        <v>#N/A</v>
      </c>
      <c r="N40" s="105" t="e">
        <f>VLOOKUP(B40,ИСХОДНИК!A:N,9,FALSE())</f>
        <v>#N/A</v>
      </c>
      <c r="O40" s="98" t="e">
        <f>VLOOKUP(B40,ИСХОДНИК!A:N,10,FALSE())</f>
        <v>#N/A</v>
      </c>
      <c r="P40" s="98" t="e">
        <f>VLOOKUP(B40,ИСХОДНИК!A:N,11,FALSE())</f>
        <v>#N/A</v>
      </c>
    </row>
    <row r="41" spans="2:16" ht="17.5">
      <c r="B41" s="97" t="s">
        <v>86</v>
      </c>
      <c r="C41" s="98" t="e">
        <f>VLOOKUP(B41,ИСХОДНИК!A:N,3,FALSE())</f>
        <v>#N/A</v>
      </c>
      <c r="D41" s="99" t="e">
        <f>VLOOKUP('Быстрый поиск по коду'!B41,ИСХОДНИК!A:N,13,FALSE())</f>
        <v>#N/A</v>
      </c>
      <c r="E41" s="99" t="e">
        <f>VLOOKUP('Быстрый поиск по коду'!B41,ИСХОДНИК!A:N,14,FALSE())</f>
        <v>#N/A</v>
      </c>
      <c r="F41" s="100">
        <v>1</v>
      </c>
      <c r="G41" s="101" t="e">
        <f>VLOOKUP(B41,ИСХОДНИК!A:P,15,FALSE())</f>
        <v>#N/A</v>
      </c>
      <c r="H41" s="102" t="e">
        <f t="shared" si="0"/>
        <v>#N/A</v>
      </c>
      <c r="I41" s="102" t="e">
        <f t="shared" si="1"/>
        <v>#N/A</v>
      </c>
      <c r="J41" s="103" t="e">
        <f t="shared" si="2"/>
        <v>#N/A</v>
      </c>
      <c r="K41" s="104" t="e">
        <f>IF(VLOOKUP(B41,ИСХОДНИК!A:R,18,FALSE())=1,ИСХОДНИК!$T$2,IF(VLOOKUP(B41,ИСХОДНИК!A:R,18,FALSE())=2,ИСХОДНИК!$T$5,IF(VLOOKUP(B41,ИСХОДНИК!A:R,18,FALSE())=3,ИСХОДНИК!$T$6)))</f>
        <v>#N/A</v>
      </c>
      <c r="L41" s="105" t="e">
        <f>VLOOKUP(B41,ИСХОДНИК!A:N,7,FALSE())</f>
        <v>#N/A</v>
      </c>
      <c r="M41" s="105" t="e">
        <f>VLOOKUP(B41,ИСХОДНИК!A:N,8,FALSE())</f>
        <v>#N/A</v>
      </c>
      <c r="N41" s="105" t="e">
        <f>VLOOKUP(B41,ИСХОДНИК!A:N,9,FALSE())</f>
        <v>#N/A</v>
      </c>
      <c r="O41" s="98" t="e">
        <f>VLOOKUP(B41,ИСХОДНИК!A:N,10,FALSE())</f>
        <v>#N/A</v>
      </c>
      <c r="P41" s="98" t="e">
        <f>VLOOKUP(B41,ИСХОДНИК!A:N,11,FALSE())</f>
        <v>#N/A</v>
      </c>
    </row>
    <row r="42" spans="2:16" ht="17.5">
      <c r="B42" s="97" t="s">
        <v>86</v>
      </c>
      <c r="C42" s="98" t="e">
        <f>VLOOKUP(B42,ИСХОДНИК!A:N,3,FALSE())</f>
        <v>#N/A</v>
      </c>
      <c r="D42" s="99" t="e">
        <f>VLOOKUP('Быстрый поиск по коду'!B42,ИСХОДНИК!A:N,13,FALSE())</f>
        <v>#N/A</v>
      </c>
      <c r="E42" s="99" t="e">
        <f>VLOOKUP('Быстрый поиск по коду'!B42,ИСХОДНИК!A:N,14,FALSE())</f>
        <v>#N/A</v>
      </c>
      <c r="F42" s="100">
        <v>1</v>
      </c>
      <c r="G42" s="101" t="e">
        <f>VLOOKUP(B42,ИСХОДНИК!A:P,15,FALSE())</f>
        <v>#N/A</v>
      </c>
      <c r="H42" s="102" t="e">
        <f t="shared" si="0"/>
        <v>#N/A</v>
      </c>
      <c r="I42" s="102" t="e">
        <f t="shared" si="1"/>
        <v>#N/A</v>
      </c>
      <c r="J42" s="103" t="e">
        <f t="shared" si="2"/>
        <v>#N/A</v>
      </c>
      <c r="K42" s="104" t="e">
        <f>IF(VLOOKUP(B42,ИСХОДНИК!A:R,18,FALSE())=1,ИСХОДНИК!$T$2,IF(VLOOKUP(B42,ИСХОДНИК!A:R,18,FALSE())=2,ИСХОДНИК!$T$5,IF(VLOOKUP(B42,ИСХОДНИК!A:R,18,FALSE())=3,ИСХОДНИК!$T$6)))</f>
        <v>#N/A</v>
      </c>
      <c r="L42" s="105" t="e">
        <f>VLOOKUP(B42,ИСХОДНИК!A:N,7,FALSE())</f>
        <v>#N/A</v>
      </c>
      <c r="M42" s="105" t="e">
        <f>VLOOKUP(B42,ИСХОДНИК!A:N,8,FALSE())</f>
        <v>#N/A</v>
      </c>
      <c r="N42" s="105" t="e">
        <f>VLOOKUP(B42,ИСХОДНИК!A:N,9,FALSE())</f>
        <v>#N/A</v>
      </c>
      <c r="O42" s="98" t="e">
        <f>VLOOKUP(B42,ИСХОДНИК!A:N,10,FALSE())</f>
        <v>#N/A</v>
      </c>
      <c r="P42" s="98" t="e">
        <f>VLOOKUP(B42,ИСХОДНИК!A:N,11,FALSE())</f>
        <v>#N/A</v>
      </c>
    </row>
    <row r="43" spans="2:16" ht="17.5">
      <c r="B43" s="97" t="s">
        <v>86</v>
      </c>
      <c r="C43" s="98" t="e">
        <f>VLOOKUP(B43,ИСХОДНИК!A:N,3,FALSE())</f>
        <v>#N/A</v>
      </c>
      <c r="D43" s="99" t="e">
        <f>VLOOKUP('Быстрый поиск по коду'!B43,ИСХОДНИК!A:N,13,FALSE())</f>
        <v>#N/A</v>
      </c>
      <c r="E43" s="99" t="e">
        <f>VLOOKUP('Быстрый поиск по коду'!B43,ИСХОДНИК!A:N,14,FALSE())</f>
        <v>#N/A</v>
      </c>
      <c r="F43" s="100">
        <v>1</v>
      </c>
      <c r="G43" s="101" t="e">
        <f>VLOOKUP(B43,ИСХОДНИК!A:P,15,FALSE())</f>
        <v>#N/A</v>
      </c>
      <c r="H43" s="102" t="e">
        <f t="shared" si="0"/>
        <v>#N/A</v>
      </c>
      <c r="I43" s="102" t="e">
        <f t="shared" si="1"/>
        <v>#N/A</v>
      </c>
      <c r="J43" s="103" t="e">
        <f t="shared" si="2"/>
        <v>#N/A</v>
      </c>
      <c r="K43" s="104" t="e">
        <f>IF(VLOOKUP(B43,ИСХОДНИК!A:R,18,FALSE())=1,ИСХОДНИК!$T$2,IF(VLOOKUP(B43,ИСХОДНИК!A:R,18,FALSE())=2,ИСХОДНИК!$T$5,IF(VLOOKUP(B43,ИСХОДНИК!A:R,18,FALSE())=3,ИСХОДНИК!$T$6)))</f>
        <v>#N/A</v>
      </c>
      <c r="L43" s="105" t="e">
        <f>VLOOKUP(B43,ИСХОДНИК!A:N,7,FALSE())</f>
        <v>#N/A</v>
      </c>
      <c r="M43" s="105" t="e">
        <f>VLOOKUP(B43,ИСХОДНИК!A:N,8,FALSE())</f>
        <v>#N/A</v>
      </c>
      <c r="N43" s="105" t="e">
        <f>VLOOKUP(B43,ИСХОДНИК!A:N,9,FALSE())</f>
        <v>#N/A</v>
      </c>
      <c r="O43" s="98" t="e">
        <f>VLOOKUP(B43,ИСХОДНИК!A:N,10,FALSE())</f>
        <v>#N/A</v>
      </c>
      <c r="P43" s="98" t="e">
        <f>VLOOKUP(B43,ИСХОДНИК!A:N,11,FALSE())</f>
        <v>#N/A</v>
      </c>
    </row>
    <row r="44" spans="2:16" ht="17.5">
      <c r="B44" s="97" t="s">
        <v>86</v>
      </c>
      <c r="C44" s="98" t="e">
        <f>VLOOKUP(B44,ИСХОДНИК!A:N,3,FALSE())</f>
        <v>#N/A</v>
      </c>
      <c r="D44" s="99" t="e">
        <f>VLOOKUP('Быстрый поиск по коду'!B44,ИСХОДНИК!A:N,13,FALSE())</f>
        <v>#N/A</v>
      </c>
      <c r="E44" s="99" t="e">
        <f>VLOOKUP('Быстрый поиск по коду'!B44,ИСХОДНИК!A:N,14,FALSE())</f>
        <v>#N/A</v>
      </c>
      <c r="F44" s="100">
        <v>1</v>
      </c>
      <c r="G44" s="101" t="e">
        <f>VLOOKUP(B44,ИСХОДНИК!A:P,15,FALSE())</f>
        <v>#N/A</v>
      </c>
      <c r="H44" s="102" t="e">
        <f t="shared" ref="H44:H63" si="3">D44*(1-$C$3)*F44</f>
        <v>#N/A</v>
      </c>
      <c r="I44" s="102" t="e">
        <f t="shared" ref="I44:I63" si="4">D44*(1-$C$3)*F44</f>
        <v>#N/A</v>
      </c>
      <c r="J44" s="103" t="e">
        <f t="shared" ref="J44:J75" si="5">I44*$D$3</f>
        <v>#N/A</v>
      </c>
      <c r="K44" s="104" t="e">
        <f>IF(VLOOKUP(B44,ИСХОДНИК!A:R,18,FALSE())=1,ИСХОДНИК!$T$2,IF(VLOOKUP(B44,ИСХОДНИК!A:R,18,FALSE())=2,ИСХОДНИК!$T$5,IF(VLOOKUP(B44,ИСХОДНИК!A:R,18,FALSE())=3,ИСХОДНИК!$T$6)))</f>
        <v>#N/A</v>
      </c>
      <c r="L44" s="105" t="e">
        <f>VLOOKUP(B44,ИСХОДНИК!A:N,7,FALSE())</f>
        <v>#N/A</v>
      </c>
      <c r="M44" s="105" t="e">
        <f>VLOOKUP(B44,ИСХОДНИК!A:N,8,FALSE())</f>
        <v>#N/A</v>
      </c>
      <c r="N44" s="105" t="e">
        <f>VLOOKUP(B44,ИСХОДНИК!A:N,9,FALSE())</f>
        <v>#N/A</v>
      </c>
      <c r="O44" s="98" t="e">
        <f>VLOOKUP(B44,ИСХОДНИК!A:N,10,FALSE())</f>
        <v>#N/A</v>
      </c>
      <c r="P44" s="98" t="e">
        <f>VLOOKUP(B44,ИСХОДНИК!A:N,11,FALSE())</f>
        <v>#N/A</v>
      </c>
    </row>
    <row r="45" spans="2:16" ht="17.5">
      <c r="B45" s="97" t="s">
        <v>86</v>
      </c>
      <c r="C45" s="98" t="e">
        <f>VLOOKUP(B45,ИСХОДНИК!A:N,3,FALSE())</f>
        <v>#N/A</v>
      </c>
      <c r="D45" s="99" t="e">
        <f>VLOOKUP('Быстрый поиск по коду'!B45,ИСХОДНИК!A:N,13,FALSE())</f>
        <v>#N/A</v>
      </c>
      <c r="E45" s="99" t="e">
        <f>VLOOKUP('Быстрый поиск по коду'!B45,ИСХОДНИК!A:N,14,FALSE())</f>
        <v>#N/A</v>
      </c>
      <c r="F45" s="100">
        <v>1</v>
      </c>
      <c r="G45" s="101" t="e">
        <f>VLOOKUP(B45,ИСХОДНИК!A:P,15,FALSE())</f>
        <v>#N/A</v>
      </c>
      <c r="H45" s="102" t="e">
        <f t="shared" si="3"/>
        <v>#N/A</v>
      </c>
      <c r="I45" s="102" t="e">
        <f t="shared" si="4"/>
        <v>#N/A</v>
      </c>
      <c r="J45" s="103" t="e">
        <f t="shared" si="5"/>
        <v>#N/A</v>
      </c>
      <c r="K45" s="104" t="e">
        <f>IF(VLOOKUP(B45,ИСХОДНИК!A:R,18,FALSE())=1,ИСХОДНИК!$T$2,IF(VLOOKUP(B45,ИСХОДНИК!A:R,18,FALSE())=2,ИСХОДНИК!$T$5,IF(VLOOKUP(B45,ИСХОДНИК!A:R,18,FALSE())=3,ИСХОДНИК!$T$6)))</f>
        <v>#N/A</v>
      </c>
      <c r="L45" s="105" t="e">
        <f>VLOOKUP(B45,ИСХОДНИК!A:N,7,FALSE())</f>
        <v>#N/A</v>
      </c>
      <c r="M45" s="105" t="e">
        <f>VLOOKUP(B45,ИСХОДНИК!A:N,8,FALSE())</f>
        <v>#N/A</v>
      </c>
      <c r="N45" s="105" t="e">
        <f>VLOOKUP(B45,ИСХОДНИК!A:N,9,FALSE())</f>
        <v>#N/A</v>
      </c>
      <c r="O45" s="98" t="e">
        <f>VLOOKUP(B45,ИСХОДНИК!A:N,10,FALSE())</f>
        <v>#N/A</v>
      </c>
      <c r="P45" s="98" t="e">
        <f>VLOOKUP(B45,ИСХОДНИК!A:N,11,FALSE())</f>
        <v>#N/A</v>
      </c>
    </row>
    <row r="46" spans="2:16" ht="17.5">
      <c r="B46" s="97" t="s">
        <v>86</v>
      </c>
      <c r="C46" s="98" t="e">
        <f>VLOOKUP(B46,ИСХОДНИК!A:N,3,FALSE())</f>
        <v>#N/A</v>
      </c>
      <c r="D46" s="99" t="e">
        <f>VLOOKUP('Быстрый поиск по коду'!B46,ИСХОДНИК!A:N,13,FALSE())</f>
        <v>#N/A</v>
      </c>
      <c r="E46" s="99" t="e">
        <f>VLOOKUP('Быстрый поиск по коду'!B46,ИСХОДНИК!A:N,14,FALSE())</f>
        <v>#N/A</v>
      </c>
      <c r="F46" s="100">
        <v>1</v>
      </c>
      <c r="G46" s="101" t="e">
        <f>VLOOKUP(B46,ИСХОДНИК!A:P,15,FALSE())</f>
        <v>#N/A</v>
      </c>
      <c r="H46" s="102" t="e">
        <f t="shared" si="3"/>
        <v>#N/A</v>
      </c>
      <c r="I46" s="102" t="e">
        <f t="shared" si="4"/>
        <v>#N/A</v>
      </c>
      <c r="J46" s="103" t="e">
        <f t="shared" si="5"/>
        <v>#N/A</v>
      </c>
      <c r="K46" s="104" t="e">
        <f>IF(VLOOKUP(B46,ИСХОДНИК!A:R,18,FALSE())=1,ИСХОДНИК!$T$2,IF(VLOOKUP(B46,ИСХОДНИК!A:R,18,FALSE())=2,ИСХОДНИК!$T$5,IF(VLOOKUP(B46,ИСХОДНИК!A:R,18,FALSE())=3,ИСХОДНИК!$T$6)))</f>
        <v>#N/A</v>
      </c>
      <c r="L46" s="105" t="e">
        <f>VLOOKUP(B46,ИСХОДНИК!A:N,7,FALSE())</f>
        <v>#N/A</v>
      </c>
      <c r="M46" s="105" t="e">
        <f>VLOOKUP(B46,ИСХОДНИК!A:N,8,FALSE())</f>
        <v>#N/A</v>
      </c>
      <c r="N46" s="105" t="e">
        <f>VLOOKUP(B46,ИСХОДНИК!A:N,9,FALSE())</f>
        <v>#N/A</v>
      </c>
      <c r="O46" s="98" t="e">
        <f>VLOOKUP(B46,ИСХОДНИК!A:N,10,FALSE())</f>
        <v>#N/A</v>
      </c>
      <c r="P46" s="98" t="e">
        <f>VLOOKUP(B46,ИСХОДНИК!A:N,11,FALSE())</f>
        <v>#N/A</v>
      </c>
    </row>
    <row r="47" spans="2:16" ht="17.5">
      <c r="B47" s="97" t="s">
        <v>86</v>
      </c>
      <c r="C47" s="98" t="e">
        <f>VLOOKUP(B47,ИСХОДНИК!A:N,3,FALSE())</f>
        <v>#N/A</v>
      </c>
      <c r="D47" s="99" t="e">
        <f>VLOOKUP('Быстрый поиск по коду'!B47,ИСХОДНИК!A:N,13,FALSE())</f>
        <v>#N/A</v>
      </c>
      <c r="E47" s="99" t="e">
        <f>VLOOKUP('Быстрый поиск по коду'!B47,ИСХОДНИК!A:N,14,FALSE())</f>
        <v>#N/A</v>
      </c>
      <c r="F47" s="100">
        <v>1</v>
      </c>
      <c r="G47" s="101" t="e">
        <f>VLOOKUP(B47,ИСХОДНИК!A:P,15,FALSE())</f>
        <v>#N/A</v>
      </c>
      <c r="H47" s="102" t="e">
        <f t="shared" si="3"/>
        <v>#N/A</v>
      </c>
      <c r="I47" s="102" t="e">
        <f t="shared" si="4"/>
        <v>#N/A</v>
      </c>
      <c r="J47" s="103" t="e">
        <f t="shared" si="5"/>
        <v>#N/A</v>
      </c>
      <c r="K47" s="104" t="e">
        <f>IF(VLOOKUP(B47,ИСХОДНИК!A:R,18,FALSE())=1,ИСХОДНИК!$T$2,IF(VLOOKUP(B47,ИСХОДНИК!A:R,18,FALSE())=2,ИСХОДНИК!$T$5,IF(VLOOKUP(B47,ИСХОДНИК!A:R,18,FALSE())=3,ИСХОДНИК!$T$6)))</f>
        <v>#N/A</v>
      </c>
      <c r="L47" s="105" t="e">
        <f>VLOOKUP(B47,ИСХОДНИК!A:N,7,FALSE())</f>
        <v>#N/A</v>
      </c>
      <c r="M47" s="105" t="e">
        <f>VLOOKUP(B47,ИСХОДНИК!A:N,8,FALSE())</f>
        <v>#N/A</v>
      </c>
      <c r="N47" s="105" t="e">
        <f>VLOOKUP(B47,ИСХОДНИК!A:N,9,FALSE())</f>
        <v>#N/A</v>
      </c>
      <c r="O47" s="98" t="e">
        <f>VLOOKUP(B47,ИСХОДНИК!A:N,10,FALSE())</f>
        <v>#N/A</v>
      </c>
      <c r="P47" s="98" t="e">
        <f>VLOOKUP(B47,ИСХОДНИК!A:N,11,FALSE())</f>
        <v>#N/A</v>
      </c>
    </row>
    <row r="48" spans="2:16" ht="17.5">
      <c r="B48" s="97" t="s">
        <v>86</v>
      </c>
      <c r="C48" s="98" t="e">
        <f>VLOOKUP(B48,ИСХОДНИК!A:N,3,FALSE())</f>
        <v>#N/A</v>
      </c>
      <c r="D48" s="99" t="e">
        <f>VLOOKUP('Быстрый поиск по коду'!B48,ИСХОДНИК!A:N,13,FALSE())</f>
        <v>#N/A</v>
      </c>
      <c r="E48" s="99" t="e">
        <f>VLOOKUP('Быстрый поиск по коду'!B48,ИСХОДНИК!A:N,14,FALSE())</f>
        <v>#N/A</v>
      </c>
      <c r="F48" s="100">
        <v>1</v>
      </c>
      <c r="G48" s="101" t="e">
        <f>VLOOKUP(B48,ИСХОДНИК!A:P,15,FALSE())</f>
        <v>#N/A</v>
      </c>
      <c r="H48" s="102" t="e">
        <f t="shared" si="3"/>
        <v>#N/A</v>
      </c>
      <c r="I48" s="102" t="e">
        <f t="shared" si="4"/>
        <v>#N/A</v>
      </c>
      <c r="J48" s="103" t="e">
        <f t="shared" si="5"/>
        <v>#N/A</v>
      </c>
      <c r="K48" s="104" t="e">
        <f>IF(VLOOKUP(B48,ИСХОДНИК!A:R,18,FALSE())=1,ИСХОДНИК!$T$2,IF(VLOOKUP(B48,ИСХОДНИК!A:R,18,FALSE())=2,ИСХОДНИК!$T$5,IF(VLOOKUP(B48,ИСХОДНИК!A:R,18,FALSE())=3,ИСХОДНИК!$T$6)))</f>
        <v>#N/A</v>
      </c>
      <c r="L48" s="105" t="e">
        <f>VLOOKUP(B48,ИСХОДНИК!A:N,7,FALSE())</f>
        <v>#N/A</v>
      </c>
      <c r="M48" s="105" t="e">
        <f>VLOOKUP(B48,ИСХОДНИК!A:N,8,FALSE())</f>
        <v>#N/A</v>
      </c>
      <c r="N48" s="105" t="e">
        <f>VLOOKUP(B48,ИСХОДНИК!A:N,9,FALSE())</f>
        <v>#N/A</v>
      </c>
      <c r="O48" s="98" t="e">
        <f>VLOOKUP(B48,ИСХОДНИК!A:N,10,FALSE())</f>
        <v>#N/A</v>
      </c>
      <c r="P48" s="98" t="e">
        <f>VLOOKUP(B48,ИСХОДНИК!A:N,11,FALSE())</f>
        <v>#N/A</v>
      </c>
    </row>
    <row r="49" spans="2:16" ht="17.5">
      <c r="B49" s="97" t="s">
        <v>86</v>
      </c>
      <c r="C49" s="98" t="e">
        <f>VLOOKUP(B49,ИСХОДНИК!A:N,3,FALSE())</f>
        <v>#N/A</v>
      </c>
      <c r="D49" s="99" t="e">
        <f>VLOOKUP('Быстрый поиск по коду'!B49,ИСХОДНИК!A:N,13,FALSE())</f>
        <v>#N/A</v>
      </c>
      <c r="E49" s="99" t="e">
        <f>VLOOKUP('Быстрый поиск по коду'!B49,ИСХОДНИК!A:N,14,FALSE())</f>
        <v>#N/A</v>
      </c>
      <c r="F49" s="100">
        <v>1</v>
      </c>
      <c r="G49" s="101" t="e">
        <f>VLOOKUP(B49,ИСХОДНИК!A:P,15,FALSE())</f>
        <v>#N/A</v>
      </c>
      <c r="H49" s="102" t="e">
        <f t="shared" si="3"/>
        <v>#N/A</v>
      </c>
      <c r="I49" s="102" t="e">
        <f t="shared" si="4"/>
        <v>#N/A</v>
      </c>
      <c r="J49" s="103" t="e">
        <f t="shared" si="5"/>
        <v>#N/A</v>
      </c>
      <c r="K49" s="104" t="e">
        <f>IF(VLOOKUP(B49,ИСХОДНИК!A:R,18,FALSE())=1,ИСХОДНИК!$T$2,IF(VLOOKUP(B49,ИСХОДНИК!A:R,18,FALSE())=2,ИСХОДНИК!$T$5,IF(VLOOKUP(B49,ИСХОДНИК!A:R,18,FALSE())=3,ИСХОДНИК!$T$6)))</f>
        <v>#N/A</v>
      </c>
      <c r="L49" s="105" t="e">
        <f>VLOOKUP(B49,ИСХОДНИК!A:N,7,FALSE())</f>
        <v>#N/A</v>
      </c>
      <c r="M49" s="105" t="e">
        <f>VLOOKUP(B49,ИСХОДНИК!A:N,8,FALSE())</f>
        <v>#N/A</v>
      </c>
      <c r="N49" s="105" t="e">
        <f>VLOOKUP(B49,ИСХОДНИК!A:N,9,FALSE())</f>
        <v>#N/A</v>
      </c>
      <c r="O49" s="98" t="e">
        <f>VLOOKUP(B49,ИСХОДНИК!A:N,10,FALSE())</f>
        <v>#N/A</v>
      </c>
      <c r="P49" s="98" t="e">
        <f>VLOOKUP(B49,ИСХОДНИК!A:N,11,FALSE())</f>
        <v>#N/A</v>
      </c>
    </row>
    <row r="50" spans="2:16" ht="17.5">
      <c r="B50" s="97" t="s">
        <v>86</v>
      </c>
      <c r="C50" s="98" t="e">
        <f>VLOOKUP(B50,ИСХОДНИК!A:N,3,FALSE())</f>
        <v>#N/A</v>
      </c>
      <c r="D50" s="99" t="e">
        <f>VLOOKUP('Быстрый поиск по коду'!B50,ИСХОДНИК!A:N,13,FALSE())</f>
        <v>#N/A</v>
      </c>
      <c r="E50" s="99" t="e">
        <f>VLOOKUP('Быстрый поиск по коду'!B50,ИСХОДНИК!A:N,14,FALSE())</f>
        <v>#N/A</v>
      </c>
      <c r="F50" s="100">
        <v>1</v>
      </c>
      <c r="G50" s="101" t="e">
        <f>VLOOKUP(B50,ИСХОДНИК!A:P,15,FALSE())</f>
        <v>#N/A</v>
      </c>
      <c r="H50" s="102" t="e">
        <f t="shared" si="3"/>
        <v>#N/A</v>
      </c>
      <c r="I50" s="102" t="e">
        <f t="shared" si="4"/>
        <v>#N/A</v>
      </c>
      <c r="J50" s="103" t="e">
        <f t="shared" si="5"/>
        <v>#N/A</v>
      </c>
      <c r="K50" s="104" t="e">
        <f>IF(VLOOKUP(B50,ИСХОДНИК!A:R,18,FALSE())=1,ИСХОДНИК!$T$2,IF(VLOOKUP(B50,ИСХОДНИК!A:R,18,FALSE())=2,ИСХОДНИК!$T$5,IF(VLOOKUP(B50,ИСХОДНИК!A:R,18,FALSE())=3,ИСХОДНИК!$T$6)))</f>
        <v>#N/A</v>
      </c>
      <c r="L50" s="105" t="e">
        <f>VLOOKUP(B50,ИСХОДНИК!A:N,7,FALSE())</f>
        <v>#N/A</v>
      </c>
      <c r="M50" s="105" t="e">
        <f>VLOOKUP(B50,ИСХОДНИК!A:N,8,FALSE())</f>
        <v>#N/A</v>
      </c>
      <c r="N50" s="105" t="e">
        <f>VLOOKUP(B50,ИСХОДНИК!A:N,9,FALSE())</f>
        <v>#N/A</v>
      </c>
      <c r="O50" s="98" t="e">
        <f>VLOOKUP(B50,ИСХОДНИК!A:N,10,FALSE())</f>
        <v>#N/A</v>
      </c>
      <c r="P50" s="98" t="e">
        <f>VLOOKUP(B50,ИСХОДНИК!A:N,11,FALSE())</f>
        <v>#N/A</v>
      </c>
    </row>
    <row r="51" spans="2:16" ht="17.5">
      <c r="B51" s="97" t="s">
        <v>86</v>
      </c>
      <c r="C51" s="98" t="e">
        <f>VLOOKUP(B51,ИСХОДНИК!A:N,3,FALSE())</f>
        <v>#N/A</v>
      </c>
      <c r="D51" s="99" t="e">
        <f>VLOOKUP('Быстрый поиск по коду'!B51,ИСХОДНИК!A:N,13,FALSE())</f>
        <v>#N/A</v>
      </c>
      <c r="E51" s="99" t="e">
        <f>VLOOKUP('Быстрый поиск по коду'!B51,ИСХОДНИК!A:N,14,FALSE())</f>
        <v>#N/A</v>
      </c>
      <c r="F51" s="100">
        <v>1</v>
      </c>
      <c r="G51" s="101" t="e">
        <f>VLOOKUP(B51,ИСХОДНИК!A:P,15,FALSE())</f>
        <v>#N/A</v>
      </c>
      <c r="H51" s="102" t="e">
        <f t="shared" si="3"/>
        <v>#N/A</v>
      </c>
      <c r="I51" s="102" t="e">
        <f t="shared" si="4"/>
        <v>#N/A</v>
      </c>
      <c r="J51" s="103" t="e">
        <f t="shared" si="5"/>
        <v>#N/A</v>
      </c>
      <c r="K51" s="104" t="e">
        <f>IF(VLOOKUP(B51,ИСХОДНИК!A:R,18,FALSE())=1,ИСХОДНИК!$T$2,IF(VLOOKUP(B51,ИСХОДНИК!A:R,18,FALSE())=2,ИСХОДНИК!$T$5,IF(VLOOKUP(B51,ИСХОДНИК!A:R,18,FALSE())=3,ИСХОДНИК!$T$6)))</f>
        <v>#N/A</v>
      </c>
      <c r="L51" s="105" t="e">
        <f>VLOOKUP(B51,ИСХОДНИК!A:N,7,FALSE())</f>
        <v>#N/A</v>
      </c>
      <c r="M51" s="105" t="e">
        <f>VLOOKUP(B51,ИСХОДНИК!A:N,8,FALSE())</f>
        <v>#N/A</v>
      </c>
      <c r="N51" s="105" t="e">
        <f>VLOOKUP(B51,ИСХОДНИК!A:N,9,FALSE())</f>
        <v>#N/A</v>
      </c>
      <c r="O51" s="98" t="e">
        <f>VLOOKUP(B51,ИСХОДНИК!A:N,10,FALSE())</f>
        <v>#N/A</v>
      </c>
      <c r="P51" s="98" t="e">
        <f>VLOOKUP(B51,ИСХОДНИК!A:N,11,FALSE())</f>
        <v>#N/A</v>
      </c>
    </row>
    <row r="52" spans="2:16" ht="17.5">
      <c r="B52" s="97" t="s">
        <v>86</v>
      </c>
      <c r="C52" s="98" t="e">
        <f>VLOOKUP(B52,ИСХОДНИК!A:N,3,FALSE())</f>
        <v>#N/A</v>
      </c>
      <c r="D52" s="99" t="e">
        <f>VLOOKUP('Быстрый поиск по коду'!B52,ИСХОДНИК!A:N,13,FALSE())</f>
        <v>#N/A</v>
      </c>
      <c r="E52" s="99" t="e">
        <f>VLOOKUP('Быстрый поиск по коду'!B52,ИСХОДНИК!A:N,14,FALSE())</f>
        <v>#N/A</v>
      </c>
      <c r="F52" s="100">
        <v>1</v>
      </c>
      <c r="G52" s="101" t="e">
        <f>VLOOKUP(B52,ИСХОДНИК!A:P,15,FALSE())</f>
        <v>#N/A</v>
      </c>
      <c r="H52" s="102" t="e">
        <f t="shared" si="3"/>
        <v>#N/A</v>
      </c>
      <c r="I52" s="102" t="e">
        <f t="shared" si="4"/>
        <v>#N/A</v>
      </c>
      <c r="J52" s="103" t="e">
        <f t="shared" si="5"/>
        <v>#N/A</v>
      </c>
      <c r="K52" s="104" t="e">
        <f>IF(VLOOKUP(B52,ИСХОДНИК!A:R,18,FALSE())=1,ИСХОДНИК!$T$2,IF(VLOOKUP(B52,ИСХОДНИК!A:R,18,FALSE())=2,ИСХОДНИК!$T$5,IF(VLOOKUP(B52,ИСХОДНИК!A:R,18,FALSE())=3,ИСХОДНИК!$T$6)))</f>
        <v>#N/A</v>
      </c>
      <c r="L52" s="105" t="e">
        <f>VLOOKUP(B52,ИСХОДНИК!A:N,7,FALSE())</f>
        <v>#N/A</v>
      </c>
      <c r="M52" s="105" t="e">
        <f>VLOOKUP(B52,ИСХОДНИК!A:N,8,FALSE())</f>
        <v>#N/A</v>
      </c>
      <c r="N52" s="105" t="e">
        <f>VLOOKUP(B52,ИСХОДНИК!A:N,9,FALSE())</f>
        <v>#N/A</v>
      </c>
      <c r="O52" s="98" t="e">
        <f>VLOOKUP(B52,ИСХОДНИК!A:N,10,FALSE())</f>
        <v>#N/A</v>
      </c>
      <c r="P52" s="98" t="e">
        <f>VLOOKUP(B52,ИСХОДНИК!A:N,11,FALSE())</f>
        <v>#N/A</v>
      </c>
    </row>
    <row r="53" spans="2:16" ht="17.5">
      <c r="B53" s="97" t="s">
        <v>86</v>
      </c>
      <c r="C53" s="98" t="e">
        <f>VLOOKUP(B53,ИСХОДНИК!A:N,3,FALSE())</f>
        <v>#N/A</v>
      </c>
      <c r="D53" s="99" t="e">
        <f>VLOOKUP('Быстрый поиск по коду'!B53,ИСХОДНИК!A:N,13,FALSE())</f>
        <v>#N/A</v>
      </c>
      <c r="E53" s="99" t="e">
        <f>VLOOKUP('Быстрый поиск по коду'!B53,ИСХОДНИК!A:N,14,FALSE())</f>
        <v>#N/A</v>
      </c>
      <c r="F53" s="100">
        <v>1</v>
      </c>
      <c r="G53" s="101" t="e">
        <f>VLOOKUP(B53,ИСХОДНИК!A:P,15,FALSE())</f>
        <v>#N/A</v>
      </c>
      <c r="H53" s="102" t="e">
        <f t="shared" si="3"/>
        <v>#N/A</v>
      </c>
      <c r="I53" s="102" t="e">
        <f t="shared" si="4"/>
        <v>#N/A</v>
      </c>
      <c r="J53" s="103" t="e">
        <f t="shared" si="5"/>
        <v>#N/A</v>
      </c>
      <c r="K53" s="104" t="e">
        <f>IF(VLOOKUP(B53,ИСХОДНИК!A:R,18,FALSE())=1,ИСХОДНИК!$T$2,IF(VLOOKUP(B53,ИСХОДНИК!A:R,18,FALSE())=2,ИСХОДНИК!$T$5,IF(VLOOKUP(B53,ИСХОДНИК!A:R,18,FALSE())=3,ИСХОДНИК!$T$6)))</f>
        <v>#N/A</v>
      </c>
      <c r="L53" s="105" t="e">
        <f>VLOOKUP(B53,ИСХОДНИК!A:N,7,FALSE())</f>
        <v>#N/A</v>
      </c>
      <c r="M53" s="105" t="e">
        <f>VLOOKUP(B53,ИСХОДНИК!A:N,8,FALSE())</f>
        <v>#N/A</v>
      </c>
      <c r="N53" s="105" t="e">
        <f>VLOOKUP(B53,ИСХОДНИК!A:N,9,FALSE())</f>
        <v>#N/A</v>
      </c>
      <c r="O53" s="98" t="e">
        <f>VLOOKUP(B53,ИСХОДНИК!A:N,10,FALSE())</f>
        <v>#N/A</v>
      </c>
      <c r="P53" s="98" t="e">
        <f>VLOOKUP(B53,ИСХОДНИК!A:N,11,FALSE())</f>
        <v>#N/A</v>
      </c>
    </row>
    <row r="54" spans="2:16" ht="17.5">
      <c r="B54" s="97" t="s">
        <v>86</v>
      </c>
      <c r="C54" s="98" t="e">
        <f>VLOOKUP(B54,ИСХОДНИК!A:N,3,FALSE())</f>
        <v>#N/A</v>
      </c>
      <c r="D54" s="99" t="e">
        <f>VLOOKUP('Быстрый поиск по коду'!B54,ИСХОДНИК!A:N,13,FALSE())</f>
        <v>#N/A</v>
      </c>
      <c r="E54" s="99" t="e">
        <f>VLOOKUP('Быстрый поиск по коду'!B54,ИСХОДНИК!A:N,14,FALSE())</f>
        <v>#N/A</v>
      </c>
      <c r="F54" s="100">
        <v>1</v>
      </c>
      <c r="G54" s="101" t="e">
        <f>VLOOKUP(B54,ИСХОДНИК!A:P,15,FALSE())</f>
        <v>#N/A</v>
      </c>
      <c r="H54" s="102" t="e">
        <f t="shared" si="3"/>
        <v>#N/A</v>
      </c>
      <c r="I54" s="102" t="e">
        <f t="shared" si="4"/>
        <v>#N/A</v>
      </c>
      <c r="J54" s="103" t="e">
        <f t="shared" si="5"/>
        <v>#N/A</v>
      </c>
      <c r="K54" s="104" t="e">
        <f>IF(VLOOKUP(B54,ИСХОДНИК!A:R,18,FALSE())=1,ИСХОДНИК!$T$2,IF(VLOOKUP(B54,ИСХОДНИК!A:R,18,FALSE())=2,ИСХОДНИК!$T$5,IF(VLOOKUP(B54,ИСХОДНИК!A:R,18,FALSE())=3,ИСХОДНИК!$T$6)))</f>
        <v>#N/A</v>
      </c>
      <c r="L54" s="105" t="e">
        <f>VLOOKUP(B54,ИСХОДНИК!A:N,7,FALSE())</f>
        <v>#N/A</v>
      </c>
      <c r="M54" s="105" t="e">
        <f>VLOOKUP(B54,ИСХОДНИК!A:N,8,FALSE())</f>
        <v>#N/A</v>
      </c>
      <c r="N54" s="105" t="e">
        <f>VLOOKUP(B54,ИСХОДНИК!A:N,9,FALSE())</f>
        <v>#N/A</v>
      </c>
      <c r="O54" s="98" t="e">
        <f>VLOOKUP(B54,ИСХОДНИК!A:N,10,FALSE())</f>
        <v>#N/A</v>
      </c>
      <c r="P54" s="98" t="e">
        <f>VLOOKUP(B54,ИСХОДНИК!A:N,11,FALSE())</f>
        <v>#N/A</v>
      </c>
    </row>
    <row r="55" spans="2:16" ht="17.5">
      <c r="B55" s="97" t="s">
        <v>86</v>
      </c>
      <c r="C55" s="98" t="e">
        <f>VLOOKUP(B55,ИСХОДНИК!A:N,3,FALSE())</f>
        <v>#N/A</v>
      </c>
      <c r="D55" s="99" t="e">
        <f>VLOOKUP('Быстрый поиск по коду'!B55,ИСХОДНИК!A:N,13,FALSE())</f>
        <v>#N/A</v>
      </c>
      <c r="E55" s="99" t="e">
        <f>VLOOKUP('Быстрый поиск по коду'!B55,ИСХОДНИК!A:N,14,FALSE())</f>
        <v>#N/A</v>
      </c>
      <c r="F55" s="100">
        <v>1</v>
      </c>
      <c r="G55" s="101" t="e">
        <f>VLOOKUP(B55,ИСХОДНИК!A:P,15,FALSE())</f>
        <v>#N/A</v>
      </c>
      <c r="H55" s="102" t="e">
        <f t="shared" si="3"/>
        <v>#N/A</v>
      </c>
      <c r="I55" s="102" t="e">
        <f t="shared" si="4"/>
        <v>#N/A</v>
      </c>
      <c r="J55" s="103" t="e">
        <f t="shared" si="5"/>
        <v>#N/A</v>
      </c>
      <c r="K55" s="104" t="e">
        <f>IF(VLOOKUP(B55,ИСХОДНИК!A:R,18,FALSE())=1,ИСХОДНИК!$T$2,IF(VLOOKUP(B55,ИСХОДНИК!A:R,18,FALSE())=2,ИСХОДНИК!$T$5,IF(VLOOKUP(B55,ИСХОДНИК!A:R,18,FALSE())=3,ИСХОДНИК!$T$6)))</f>
        <v>#N/A</v>
      </c>
      <c r="L55" s="105" t="e">
        <f>VLOOKUP(B55,ИСХОДНИК!A:N,7,FALSE())</f>
        <v>#N/A</v>
      </c>
      <c r="M55" s="105" t="e">
        <f>VLOOKUP(B55,ИСХОДНИК!A:N,8,FALSE())</f>
        <v>#N/A</v>
      </c>
      <c r="N55" s="105" t="e">
        <f>VLOOKUP(B55,ИСХОДНИК!A:N,9,FALSE())</f>
        <v>#N/A</v>
      </c>
      <c r="O55" s="98" t="e">
        <f>VLOOKUP(B55,ИСХОДНИК!A:N,10,FALSE())</f>
        <v>#N/A</v>
      </c>
      <c r="P55" s="98" t="e">
        <f>VLOOKUP(B55,ИСХОДНИК!A:N,11,FALSE())</f>
        <v>#N/A</v>
      </c>
    </row>
    <row r="56" spans="2:16" ht="17.5">
      <c r="B56" s="97" t="s">
        <v>86</v>
      </c>
      <c r="C56" s="98" t="e">
        <f>VLOOKUP(B56,ИСХОДНИК!A:N,3,FALSE())</f>
        <v>#N/A</v>
      </c>
      <c r="D56" s="99" t="e">
        <f>VLOOKUP('Быстрый поиск по коду'!B56,ИСХОДНИК!A:N,13,FALSE())</f>
        <v>#N/A</v>
      </c>
      <c r="E56" s="99" t="e">
        <f>VLOOKUP('Быстрый поиск по коду'!B56,ИСХОДНИК!A:N,14,FALSE())</f>
        <v>#N/A</v>
      </c>
      <c r="F56" s="100">
        <v>1</v>
      </c>
      <c r="G56" s="101" t="e">
        <f>VLOOKUP(B56,ИСХОДНИК!A:P,15,FALSE())</f>
        <v>#N/A</v>
      </c>
      <c r="H56" s="102" t="e">
        <f t="shared" si="3"/>
        <v>#N/A</v>
      </c>
      <c r="I56" s="102" t="e">
        <f t="shared" si="4"/>
        <v>#N/A</v>
      </c>
      <c r="J56" s="103" t="e">
        <f t="shared" si="5"/>
        <v>#N/A</v>
      </c>
      <c r="K56" s="104" t="e">
        <f>IF(VLOOKUP(B56,ИСХОДНИК!A:R,18,FALSE())=1,ИСХОДНИК!$T$2,IF(VLOOKUP(B56,ИСХОДНИК!A:R,18,FALSE())=2,ИСХОДНИК!$T$5,IF(VLOOKUP(B56,ИСХОДНИК!A:R,18,FALSE())=3,ИСХОДНИК!$T$6)))</f>
        <v>#N/A</v>
      </c>
      <c r="L56" s="105" t="e">
        <f>VLOOKUP(B56,ИСХОДНИК!A:N,7,FALSE())</f>
        <v>#N/A</v>
      </c>
      <c r="M56" s="105" t="e">
        <f>VLOOKUP(B56,ИСХОДНИК!A:N,8,FALSE())</f>
        <v>#N/A</v>
      </c>
      <c r="N56" s="105" t="e">
        <f>VLOOKUP(B56,ИСХОДНИК!A:N,9,FALSE())</f>
        <v>#N/A</v>
      </c>
      <c r="O56" s="98" t="e">
        <f>VLOOKUP(B56,ИСХОДНИК!A:N,10,FALSE())</f>
        <v>#N/A</v>
      </c>
      <c r="P56" s="98" t="e">
        <f>VLOOKUP(B56,ИСХОДНИК!A:N,11,FALSE())</f>
        <v>#N/A</v>
      </c>
    </row>
    <row r="57" spans="2:16" ht="17.5">
      <c r="B57" s="97" t="s">
        <v>86</v>
      </c>
      <c r="C57" s="98" t="e">
        <f>VLOOKUP(B57,ИСХОДНИК!A:N,3,FALSE())</f>
        <v>#N/A</v>
      </c>
      <c r="D57" s="99" t="e">
        <f>VLOOKUP('Быстрый поиск по коду'!B57,ИСХОДНИК!A:N,13,FALSE())</f>
        <v>#N/A</v>
      </c>
      <c r="E57" s="99" t="e">
        <f>VLOOKUP('Быстрый поиск по коду'!B57,ИСХОДНИК!A:N,14,FALSE())</f>
        <v>#N/A</v>
      </c>
      <c r="F57" s="100">
        <v>1</v>
      </c>
      <c r="G57" s="101" t="e">
        <f>VLOOKUP(B57,ИСХОДНИК!A:P,15,FALSE())</f>
        <v>#N/A</v>
      </c>
      <c r="H57" s="102" t="e">
        <f t="shared" si="3"/>
        <v>#N/A</v>
      </c>
      <c r="I57" s="102" t="e">
        <f t="shared" si="4"/>
        <v>#N/A</v>
      </c>
      <c r="J57" s="103" t="e">
        <f t="shared" si="5"/>
        <v>#N/A</v>
      </c>
      <c r="K57" s="104" t="e">
        <f>IF(VLOOKUP(B57,ИСХОДНИК!A:R,18,FALSE())=1,ИСХОДНИК!$T$2,IF(VLOOKUP(B57,ИСХОДНИК!A:R,18,FALSE())=2,ИСХОДНИК!$T$5,IF(VLOOKUP(B57,ИСХОДНИК!A:R,18,FALSE())=3,ИСХОДНИК!$T$6)))</f>
        <v>#N/A</v>
      </c>
      <c r="L57" s="105" t="e">
        <f>VLOOKUP(B57,ИСХОДНИК!A:N,7,FALSE())</f>
        <v>#N/A</v>
      </c>
      <c r="M57" s="105" t="e">
        <f>VLOOKUP(B57,ИСХОДНИК!A:N,8,FALSE())</f>
        <v>#N/A</v>
      </c>
      <c r="N57" s="105" t="e">
        <f>VLOOKUP(B57,ИСХОДНИК!A:N,9,FALSE())</f>
        <v>#N/A</v>
      </c>
      <c r="O57" s="98" t="e">
        <f>VLOOKUP(B57,ИСХОДНИК!A:N,10,FALSE())</f>
        <v>#N/A</v>
      </c>
      <c r="P57" s="98" t="e">
        <f>VLOOKUP(B57,ИСХОДНИК!A:N,11,FALSE())</f>
        <v>#N/A</v>
      </c>
    </row>
    <row r="58" spans="2:16" ht="17.5">
      <c r="B58" s="97" t="s">
        <v>86</v>
      </c>
      <c r="C58" s="98" t="e">
        <f>VLOOKUP(B58,ИСХОДНИК!A:N,3,FALSE())</f>
        <v>#N/A</v>
      </c>
      <c r="D58" s="99" t="e">
        <f>VLOOKUP('Быстрый поиск по коду'!B58,ИСХОДНИК!A:N,13,FALSE())</f>
        <v>#N/A</v>
      </c>
      <c r="E58" s="99" t="e">
        <f>VLOOKUP('Быстрый поиск по коду'!B58,ИСХОДНИК!A:N,14,FALSE())</f>
        <v>#N/A</v>
      </c>
      <c r="F58" s="100">
        <v>1</v>
      </c>
      <c r="G58" s="101" t="e">
        <f>VLOOKUP(B58,ИСХОДНИК!A:P,15,FALSE())</f>
        <v>#N/A</v>
      </c>
      <c r="H58" s="102" t="e">
        <f t="shared" si="3"/>
        <v>#N/A</v>
      </c>
      <c r="I58" s="102" t="e">
        <f t="shared" si="4"/>
        <v>#N/A</v>
      </c>
      <c r="J58" s="103" t="e">
        <f t="shared" si="5"/>
        <v>#N/A</v>
      </c>
      <c r="K58" s="104" t="e">
        <f>IF(VLOOKUP(B58,ИСХОДНИК!A:R,18,FALSE())=1,ИСХОДНИК!$T$2,IF(VLOOKUP(B58,ИСХОДНИК!A:R,18,FALSE())=2,ИСХОДНИК!$T$5,IF(VLOOKUP(B58,ИСХОДНИК!A:R,18,FALSE())=3,ИСХОДНИК!$T$6)))</f>
        <v>#N/A</v>
      </c>
      <c r="L58" s="105" t="e">
        <f>VLOOKUP(B58,ИСХОДНИК!A:N,7,FALSE())</f>
        <v>#N/A</v>
      </c>
      <c r="M58" s="105" t="e">
        <f>VLOOKUP(B58,ИСХОДНИК!A:N,8,FALSE())</f>
        <v>#N/A</v>
      </c>
      <c r="N58" s="105" t="e">
        <f>VLOOKUP(B58,ИСХОДНИК!A:N,9,FALSE())</f>
        <v>#N/A</v>
      </c>
      <c r="O58" s="98" t="e">
        <f>VLOOKUP(B58,ИСХОДНИК!A:N,10,FALSE())</f>
        <v>#N/A</v>
      </c>
      <c r="P58" s="98" t="e">
        <f>VLOOKUP(B58,ИСХОДНИК!A:N,11,FALSE())</f>
        <v>#N/A</v>
      </c>
    </row>
    <row r="59" spans="2:16" ht="17.5">
      <c r="B59" s="97" t="s">
        <v>86</v>
      </c>
      <c r="C59" s="98" t="e">
        <f>VLOOKUP(B59,ИСХОДНИК!A:N,3,FALSE())</f>
        <v>#N/A</v>
      </c>
      <c r="D59" s="99" t="e">
        <f>VLOOKUP('Быстрый поиск по коду'!B59,ИСХОДНИК!A:N,13,FALSE())</f>
        <v>#N/A</v>
      </c>
      <c r="E59" s="99" t="e">
        <f>VLOOKUP('Быстрый поиск по коду'!B59,ИСХОДНИК!A:N,14,FALSE())</f>
        <v>#N/A</v>
      </c>
      <c r="F59" s="100">
        <v>1</v>
      </c>
      <c r="G59" s="101" t="e">
        <f>VLOOKUP(B59,ИСХОДНИК!A:P,15,FALSE())</f>
        <v>#N/A</v>
      </c>
      <c r="H59" s="102" t="e">
        <f t="shared" si="3"/>
        <v>#N/A</v>
      </c>
      <c r="I59" s="102" t="e">
        <f t="shared" si="4"/>
        <v>#N/A</v>
      </c>
      <c r="J59" s="103" t="e">
        <f t="shared" si="5"/>
        <v>#N/A</v>
      </c>
      <c r="K59" s="104" t="e">
        <f>IF(VLOOKUP(B59,ИСХОДНИК!A:R,18,FALSE())=1,ИСХОДНИК!$T$2,IF(VLOOKUP(B59,ИСХОДНИК!A:R,18,FALSE())=2,ИСХОДНИК!$T$5,IF(VLOOKUP(B59,ИСХОДНИК!A:R,18,FALSE())=3,ИСХОДНИК!$T$6)))</f>
        <v>#N/A</v>
      </c>
      <c r="L59" s="105" t="e">
        <f>VLOOKUP(B59,ИСХОДНИК!A:N,7,FALSE())</f>
        <v>#N/A</v>
      </c>
      <c r="M59" s="105" t="e">
        <f>VLOOKUP(B59,ИСХОДНИК!A:N,8,FALSE())</f>
        <v>#N/A</v>
      </c>
      <c r="N59" s="105" t="e">
        <f>VLOOKUP(B59,ИСХОДНИК!A:N,9,FALSE())</f>
        <v>#N/A</v>
      </c>
      <c r="O59" s="98" t="e">
        <f>VLOOKUP(B59,ИСХОДНИК!A:N,10,FALSE())</f>
        <v>#N/A</v>
      </c>
      <c r="P59" s="98" t="e">
        <f>VLOOKUP(B59,ИСХОДНИК!A:N,11,FALSE())</f>
        <v>#N/A</v>
      </c>
    </row>
    <row r="60" spans="2:16" ht="17.5">
      <c r="B60" s="97" t="s">
        <v>86</v>
      </c>
      <c r="C60" s="98" t="e">
        <f>VLOOKUP(B60,ИСХОДНИК!A:N,3,FALSE())</f>
        <v>#N/A</v>
      </c>
      <c r="D60" s="99" t="e">
        <f>VLOOKUP('Быстрый поиск по коду'!B60,ИСХОДНИК!A:N,13,FALSE())</f>
        <v>#N/A</v>
      </c>
      <c r="E60" s="99" t="e">
        <f>VLOOKUP('Быстрый поиск по коду'!B60,ИСХОДНИК!A:N,14,FALSE())</f>
        <v>#N/A</v>
      </c>
      <c r="F60" s="100">
        <v>1</v>
      </c>
      <c r="G60" s="101" t="e">
        <f>VLOOKUP(B60,ИСХОДНИК!A:P,15,FALSE())</f>
        <v>#N/A</v>
      </c>
      <c r="H60" s="102" t="e">
        <f t="shared" si="3"/>
        <v>#N/A</v>
      </c>
      <c r="I60" s="102" t="e">
        <f t="shared" si="4"/>
        <v>#N/A</v>
      </c>
      <c r="J60" s="103" t="e">
        <f t="shared" si="5"/>
        <v>#N/A</v>
      </c>
      <c r="K60" s="104" t="e">
        <f>IF(VLOOKUP(B60,ИСХОДНИК!A:R,18,FALSE())=1,ИСХОДНИК!$T$2,IF(VLOOKUP(B60,ИСХОДНИК!A:R,18,FALSE())=2,ИСХОДНИК!$T$5,IF(VLOOKUP(B60,ИСХОДНИК!A:R,18,FALSE())=3,ИСХОДНИК!$T$6)))</f>
        <v>#N/A</v>
      </c>
      <c r="L60" s="105" t="e">
        <f>VLOOKUP(B60,ИСХОДНИК!A:N,7,FALSE())</f>
        <v>#N/A</v>
      </c>
      <c r="M60" s="105" t="e">
        <f>VLOOKUP(B60,ИСХОДНИК!A:N,8,FALSE())</f>
        <v>#N/A</v>
      </c>
      <c r="N60" s="105" t="e">
        <f>VLOOKUP(B60,ИСХОДНИК!A:N,9,FALSE())</f>
        <v>#N/A</v>
      </c>
      <c r="O60" s="98" t="e">
        <f>VLOOKUP(B60,ИСХОДНИК!A:N,10,FALSE())</f>
        <v>#N/A</v>
      </c>
      <c r="P60" s="98" t="e">
        <f>VLOOKUP(B60,ИСХОДНИК!A:N,11,FALSE())</f>
        <v>#N/A</v>
      </c>
    </row>
    <row r="61" spans="2:16" ht="17.5">
      <c r="B61" s="97" t="s">
        <v>86</v>
      </c>
      <c r="C61" s="98" t="e">
        <f>VLOOKUP(B61,ИСХОДНИК!A:N,3,FALSE())</f>
        <v>#N/A</v>
      </c>
      <c r="D61" s="99" t="e">
        <f>VLOOKUP('Быстрый поиск по коду'!B61,ИСХОДНИК!A:N,13,FALSE())</f>
        <v>#N/A</v>
      </c>
      <c r="E61" s="99" t="e">
        <f>VLOOKUP('Быстрый поиск по коду'!B61,ИСХОДНИК!A:N,14,FALSE())</f>
        <v>#N/A</v>
      </c>
      <c r="F61" s="100">
        <v>1</v>
      </c>
      <c r="G61" s="101" t="e">
        <f>VLOOKUP(B61,ИСХОДНИК!A:P,15,FALSE())</f>
        <v>#N/A</v>
      </c>
      <c r="H61" s="102" t="e">
        <f t="shared" si="3"/>
        <v>#N/A</v>
      </c>
      <c r="I61" s="102" t="e">
        <f t="shared" si="4"/>
        <v>#N/A</v>
      </c>
      <c r="J61" s="103" t="e">
        <f t="shared" si="5"/>
        <v>#N/A</v>
      </c>
      <c r="K61" s="104" t="e">
        <f>IF(VLOOKUP(B61,ИСХОДНИК!A:R,18,FALSE())=1,ИСХОДНИК!$T$2,IF(VLOOKUP(B61,ИСХОДНИК!A:R,18,FALSE())=2,ИСХОДНИК!$T$5,IF(VLOOKUP(B61,ИСХОДНИК!A:R,18,FALSE())=3,ИСХОДНИК!$T$6)))</f>
        <v>#N/A</v>
      </c>
      <c r="L61" s="105" t="e">
        <f>VLOOKUP(B61,ИСХОДНИК!A:N,7,FALSE())</f>
        <v>#N/A</v>
      </c>
      <c r="M61" s="105" t="e">
        <f>VLOOKUP(B61,ИСХОДНИК!A:N,8,FALSE())</f>
        <v>#N/A</v>
      </c>
      <c r="N61" s="105" t="e">
        <f>VLOOKUP(B61,ИСХОДНИК!A:N,9,FALSE())</f>
        <v>#N/A</v>
      </c>
      <c r="O61" s="98" t="e">
        <f>VLOOKUP(B61,ИСХОДНИК!A:N,10,FALSE())</f>
        <v>#N/A</v>
      </c>
      <c r="P61" s="98" t="e">
        <f>VLOOKUP(B61,ИСХОДНИК!A:N,11,FALSE())</f>
        <v>#N/A</v>
      </c>
    </row>
    <row r="62" spans="2:16" ht="17.5">
      <c r="B62" s="97" t="s">
        <v>86</v>
      </c>
      <c r="C62" s="98" t="e">
        <f>VLOOKUP(B62,ИСХОДНИК!A:N,3,FALSE())</f>
        <v>#N/A</v>
      </c>
      <c r="D62" s="99" t="e">
        <f>VLOOKUP('Быстрый поиск по коду'!B62,ИСХОДНИК!A:N,13,FALSE())</f>
        <v>#N/A</v>
      </c>
      <c r="E62" s="99" t="e">
        <f>VLOOKUP('Быстрый поиск по коду'!B62,ИСХОДНИК!A:N,14,FALSE())</f>
        <v>#N/A</v>
      </c>
      <c r="F62" s="100">
        <v>1</v>
      </c>
      <c r="G62" s="101" t="e">
        <f>VLOOKUP(B62,ИСХОДНИК!A:P,15,FALSE())</f>
        <v>#N/A</v>
      </c>
      <c r="H62" s="102" t="e">
        <f t="shared" si="3"/>
        <v>#N/A</v>
      </c>
      <c r="I62" s="102" t="e">
        <f t="shared" si="4"/>
        <v>#N/A</v>
      </c>
      <c r="J62" s="103" t="e">
        <f t="shared" si="5"/>
        <v>#N/A</v>
      </c>
      <c r="K62" s="104" t="e">
        <f>IF(VLOOKUP(B62,ИСХОДНИК!A:R,18,FALSE())=1,ИСХОДНИК!$T$2,IF(VLOOKUP(B62,ИСХОДНИК!A:R,18,FALSE())=2,ИСХОДНИК!$T$5,IF(VLOOKUP(B62,ИСХОДНИК!A:R,18,FALSE())=3,ИСХОДНИК!$T$6)))</f>
        <v>#N/A</v>
      </c>
      <c r="L62" s="105" t="e">
        <f>VLOOKUP(B62,ИСХОДНИК!A:N,7,FALSE())</f>
        <v>#N/A</v>
      </c>
      <c r="M62" s="105" t="e">
        <f>VLOOKUP(B62,ИСХОДНИК!A:N,8,FALSE())</f>
        <v>#N/A</v>
      </c>
      <c r="N62" s="105" t="e">
        <f>VLOOKUP(B62,ИСХОДНИК!A:N,9,FALSE())</f>
        <v>#N/A</v>
      </c>
      <c r="O62" s="98" t="e">
        <f>VLOOKUP(B62,ИСХОДНИК!A:N,10,FALSE())</f>
        <v>#N/A</v>
      </c>
      <c r="P62" s="98" t="e">
        <f>VLOOKUP(B62,ИСХОДНИК!A:N,11,FALSE())</f>
        <v>#N/A</v>
      </c>
    </row>
    <row r="63" spans="2:16" ht="17.5">
      <c r="B63" s="97" t="s">
        <v>86</v>
      </c>
      <c r="C63" s="98" t="e">
        <f>VLOOKUP(B63,ИСХОДНИК!A:N,3,FALSE())</f>
        <v>#N/A</v>
      </c>
      <c r="D63" s="99" t="e">
        <f>VLOOKUP('Быстрый поиск по коду'!B63,ИСХОДНИК!A:N,13,FALSE())</f>
        <v>#N/A</v>
      </c>
      <c r="E63" s="99" t="e">
        <f>VLOOKUP('Быстрый поиск по коду'!B63,ИСХОДНИК!A:N,14,FALSE())</f>
        <v>#N/A</v>
      </c>
      <c r="F63" s="100">
        <v>1</v>
      </c>
      <c r="G63" s="101" t="e">
        <f>VLOOKUP(B63,ИСХОДНИК!A:P,15,FALSE())</f>
        <v>#N/A</v>
      </c>
      <c r="H63" s="102" t="e">
        <f t="shared" si="3"/>
        <v>#N/A</v>
      </c>
      <c r="I63" s="102" t="e">
        <f t="shared" si="4"/>
        <v>#N/A</v>
      </c>
      <c r="J63" s="103" t="e">
        <f t="shared" si="5"/>
        <v>#N/A</v>
      </c>
      <c r="K63" s="104" t="e">
        <f>IF(VLOOKUP(B63,ИСХОДНИК!A:R,18,FALSE())=1,ИСХОДНИК!$T$2,IF(VLOOKUP(B63,ИСХОДНИК!A:R,18,FALSE())=2,ИСХОДНИК!$T$5,IF(VLOOKUP(B63,ИСХОДНИК!A:R,18,FALSE())=3,ИСХОДНИК!$T$6)))</f>
        <v>#N/A</v>
      </c>
      <c r="L63" s="105" t="e">
        <f>VLOOKUP(B63,ИСХОДНИК!A:N,7,FALSE())</f>
        <v>#N/A</v>
      </c>
      <c r="M63" s="105" t="e">
        <f>VLOOKUP(B63,ИСХОДНИК!A:N,8,FALSE())</f>
        <v>#N/A</v>
      </c>
      <c r="N63" s="105" t="e">
        <f>VLOOKUP(B63,ИСХОДНИК!A:N,9,FALSE())</f>
        <v>#N/A</v>
      </c>
      <c r="O63" s="98" t="e">
        <f>VLOOKUP(B63,ИСХОДНИК!A:N,10,FALSE())</f>
        <v>#N/A</v>
      </c>
      <c r="P63" s="98" t="e">
        <f>VLOOKUP(B63,ИСХОДНИК!A:N,11,FALSE())</f>
        <v>#N/A</v>
      </c>
    </row>
  </sheetData>
  <mergeCells count="12">
    <mergeCell ref="C9:E9"/>
    <mergeCell ref="G5:J5"/>
    <mergeCell ref="M5:P5"/>
    <mergeCell ref="G6:J6"/>
    <mergeCell ref="M6:P6"/>
    <mergeCell ref="B8:E8"/>
    <mergeCell ref="M8:P8"/>
    <mergeCell ref="C2:E2"/>
    <mergeCell ref="F2:J2"/>
    <mergeCell ref="L2:P2"/>
    <mergeCell ref="B3:E3"/>
    <mergeCell ref="G4:J4"/>
  </mergeCells>
  <conditionalFormatting sqref="C11:C63 C11:P63 R11">
    <cfRule type="containsErrors" dxfId="7" priority="2">
      <formula>ISERROR(C11)</formula>
    </cfRule>
  </conditionalFormatting>
  <hyperlinks>
    <hyperlink ref="M4" r:id="rId1" xr:uid="{00000000-0004-0000-0100-000000000000}"/>
    <hyperlink ref="M6" r:id="rId2" xr:uid="{00000000-0004-0000-0100-000001000000}"/>
    <hyperlink ref="M8" r:id="rId3" xr:uid="{00000000-0004-0000-0100-000002000000}"/>
  </hyperlinks>
  <pageMargins left="0.7" right="0.7" top="0.75" bottom="0.75" header="0.511811023622047" footer="0.511811023622047"/>
  <pageSetup paperSize="9" orientation="portrait" horizontalDpi="300" verticalDpi="300"/>
  <drawing r:id="rId4"/>
  <legacy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76"/>
  <sheetViews>
    <sheetView showGridLines="0" zoomScaleNormal="100" workbookViewId="0">
      <selection activeCell="R11" sqref="R11"/>
    </sheetView>
  </sheetViews>
  <sheetFormatPr defaultColWidth="9.1796875" defaultRowHeight="12" customHeight="1"/>
  <cols>
    <col min="1" max="1" width="2.1796875" style="107" customWidth="1"/>
    <col min="2" max="2" width="16.1796875" style="108" customWidth="1"/>
    <col min="3" max="3" width="14.54296875" style="107" customWidth="1"/>
    <col min="4" max="4" width="17.7265625" style="107" customWidth="1"/>
    <col min="5" max="5" width="8.1796875" style="107" customWidth="1"/>
    <col min="6" max="6" width="22.1796875" style="107" customWidth="1"/>
    <col min="7" max="7" width="18.81640625" style="107" customWidth="1"/>
    <col min="8" max="8" width="26.1796875" style="107" customWidth="1"/>
    <col min="9" max="9" width="15.1796875" style="107" customWidth="1"/>
    <col min="10" max="10" width="10.453125" style="107" customWidth="1"/>
    <col min="11" max="11" width="11.1796875" style="107" customWidth="1"/>
    <col min="12" max="12" width="6.7265625" style="107" customWidth="1"/>
    <col min="13" max="13" width="8.7265625" style="107" customWidth="1"/>
    <col min="14" max="14" width="14.81640625" style="107" customWidth="1"/>
    <col min="15" max="15" width="56" style="107" customWidth="1"/>
    <col min="16" max="16" width="13.453125" style="107" customWidth="1"/>
    <col min="17" max="17" width="11.1796875" style="107" customWidth="1"/>
    <col min="18" max="16384" width="9.1796875" style="107"/>
  </cols>
  <sheetData>
    <row r="1" spans="1:19" ht="11.25" customHeight="1"/>
    <row r="2" spans="1:19" ht="42" customHeight="1">
      <c r="B2" s="213" t="s">
        <v>704</v>
      </c>
      <c r="C2" s="110"/>
      <c r="D2" s="110"/>
      <c r="E2" s="110"/>
      <c r="F2" s="110"/>
      <c r="G2" s="110"/>
      <c r="H2" s="110"/>
      <c r="I2" s="110"/>
      <c r="J2" s="110"/>
      <c r="K2" s="110"/>
      <c r="L2" s="111"/>
      <c r="N2" s="201"/>
      <c r="O2" s="203"/>
      <c r="P2" s="203"/>
      <c r="Q2" s="203"/>
      <c r="R2" s="203"/>
      <c r="S2" s="202"/>
    </row>
    <row r="3" spans="1:19" ht="76.5" customHeight="1">
      <c r="B3" s="491" t="s">
        <v>705</v>
      </c>
      <c r="C3" s="491"/>
      <c r="D3" s="491"/>
      <c r="E3" s="491"/>
      <c r="F3" s="491"/>
      <c r="G3" s="491"/>
      <c r="H3" s="158"/>
      <c r="I3" s="158"/>
      <c r="J3" s="158"/>
      <c r="K3" s="158"/>
      <c r="L3" s="114"/>
      <c r="N3" s="204"/>
      <c r="O3" s="28"/>
      <c r="P3" s="28"/>
      <c r="Q3" s="28"/>
      <c r="R3" s="28"/>
      <c r="S3" s="121"/>
    </row>
    <row r="4" spans="1:19" ht="11.25" customHeight="1">
      <c r="B4" s="76" t="s">
        <v>58</v>
      </c>
      <c r="C4" s="115" t="s">
        <v>59</v>
      </c>
      <c r="D4" s="164"/>
      <c r="E4" s="116"/>
      <c r="F4" s="116"/>
      <c r="G4" s="158"/>
      <c r="H4" s="158"/>
      <c r="I4" s="158"/>
      <c r="J4" s="158"/>
      <c r="K4" s="158"/>
      <c r="L4" s="114"/>
      <c r="N4" s="204"/>
      <c r="O4" s="28"/>
      <c r="P4" s="28"/>
      <c r="Q4" s="28"/>
      <c r="R4" s="28"/>
      <c r="S4" s="121"/>
    </row>
    <row r="5" spans="1:19" ht="11.25" customHeight="1">
      <c r="B5" s="78" t="s">
        <v>61</v>
      </c>
      <c r="C5" s="115" t="s">
        <v>62</v>
      </c>
      <c r="D5" s="164"/>
      <c r="E5" s="116"/>
      <c r="F5" s="116"/>
      <c r="G5" s="158"/>
      <c r="H5" s="158"/>
      <c r="I5" s="158"/>
      <c r="J5" s="158"/>
      <c r="K5" s="158"/>
      <c r="L5" s="114"/>
      <c r="N5" s="204"/>
      <c r="O5" s="28"/>
      <c r="P5" s="28"/>
      <c r="Q5" s="28"/>
      <c r="R5" s="28"/>
      <c r="S5" s="121"/>
    </row>
    <row r="6" spans="1:19" ht="11.25" customHeight="1">
      <c r="B6" s="80" t="s">
        <v>65</v>
      </c>
      <c r="C6" s="115" t="s">
        <v>66</v>
      </c>
      <c r="D6" s="164"/>
      <c r="E6" s="116"/>
      <c r="F6" s="116"/>
      <c r="G6" s="158"/>
      <c r="H6" s="158"/>
      <c r="I6" s="158"/>
      <c r="J6" s="158"/>
      <c r="K6" s="158"/>
      <c r="L6" s="114"/>
      <c r="N6" s="204"/>
      <c r="O6" s="28"/>
      <c r="P6" s="28"/>
      <c r="Q6" s="28"/>
      <c r="R6" s="28"/>
      <c r="S6" s="121"/>
    </row>
    <row r="7" spans="1:19" ht="11.25" customHeight="1">
      <c r="B7" s="80"/>
      <c r="C7" s="115"/>
      <c r="D7" s="164"/>
      <c r="E7" s="116"/>
      <c r="F7" s="116"/>
      <c r="G7" s="158"/>
      <c r="H7" s="158"/>
      <c r="I7" s="158"/>
      <c r="J7" s="158"/>
      <c r="K7" s="158"/>
      <c r="L7" s="114"/>
      <c r="N7" s="204"/>
      <c r="O7" s="28"/>
      <c r="P7" s="28"/>
      <c r="Q7" s="28"/>
      <c r="R7" s="28"/>
      <c r="S7" s="121"/>
    </row>
    <row r="8" spans="1:19" ht="15" customHeight="1">
      <c r="B8" s="118"/>
      <c r="C8" s="119"/>
      <c r="D8" s="119"/>
      <c r="E8" s="120"/>
      <c r="F8" s="120"/>
      <c r="G8" s="158"/>
      <c r="H8" s="158"/>
      <c r="I8" s="158"/>
      <c r="J8" s="158"/>
      <c r="K8" s="158"/>
      <c r="L8" s="114"/>
      <c r="N8" s="204"/>
      <c r="O8" s="28"/>
      <c r="P8" s="28"/>
      <c r="Q8" s="28"/>
      <c r="R8" s="28"/>
      <c r="S8" s="121"/>
    </row>
    <row r="9" spans="1:19" ht="15" customHeight="1">
      <c r="A9" s="121"/>
      <c r="B9" s="122"/>
      <c r="C9" s="74"/>
      <c r="D9" s="74"/>
      <c r="E9" s="123"/>
      <c r="F9" s="123"/>
      <c r="G9" s="158"/>
      <c r="H9" s="158"/>
      <c r="I9" s="158"/>
      <c r="J9" s="158"/>
      <c r="K9" s="158"/>
      <c r="L9" s="114"/>
      <c r="N9" s="204"/>
      <c r="O9" s="28"/>
      <c r="P9" s="28"/>
      <c r="Q9" s="28"/>
      <c r="R9" s="28"/>
      <c r="S9" s="121"/>
    </row>
    <row r="10" spans="1:19" ht="21.75" customHeight="1">
      <c r="B10" s="174" t="s">
        <v>146</v>
      </c>
      <c r="C10" s="125"/>
      <c r="D10" s="125"/>
      <c r="E10" s="125"/>
      <c r="F10" s="125"/>
      <c r="G10" s="125"/>
      <c r="H10" s="125"/>
      <c r="I10" s="492"/>
      <c r="J10" s="492"/>
      <c r="K10" s="492"/>
      <c r="L10" s="492"/>
      <c r="N10" s="205"/>
      <c r="O10" s="207"/>
      <c r="P10" s="207"/>
      <c r="Q10" s="207"/>
      <c r="R10" s="207"/>
      <c r="S10" s="206"/>
    </row>
    <row r="11" spans="1:19" ht="37.5" customHeight="1">
      <c r="B11" s="95" t="s">
        <v>72</v>
      </c>
      <c r="C11" s="95" t="s">
        <v>90</v>
      </c>
      <c r="D11" s="95" t="s">
        <v>706</v>
      </c>
      <c r="E11" s="95" t="s">
        <v>81</v>
      </c>
      <c r="F11" s="95" t="s">
        <v>84</v>
      </c>
      <c r="G11" s="95" t="s">
        <v>707</v>
      </c>
      <c r="H11" s="95" t="s">
        <v>91</v>
      </c>
      <c r="I11" s="95" t="s">
        <v>67</v>
      </c>
      <c r="J11" s="94" t="s">
        <v>74</v>
      </c>
      <c r="K11" s="94" t="s">
        <v>75</v>
      </c>
      <c r="L11" s="176" t="s">
        <v>55</v>
      </c>
      <c r="N11" s="95" t="s">
        <v>72</v>
      </c>
      <c r="O11" s="95" t="s">
        <v>365</v>
      </c>
      <c r="P11" s="95" t="s">
        <v>67</v>
      </c>
      <c r="Q11" s="94" t="s">
        <v>74</v>
      </c>
      <c r="R11" s="94" t="s">
        <v>75</v>
      </c>
      <c r="S11" s="176" t="s">
        <v>55</v>
      </c>
    </row>
    <row r="12" spans="1:19" ht="29.25" customHeight="1">
      <c r="B12" s="97" t="s">
        <v>708</v>
      </c>
      <c r="C12" s="98" t="str">
        <f>VLOOKUP(B12,ИСХОДНИК!A:P,5,FALSE())</f>
        <v>SFV-R 20</v>
      </c>
      <c r="D12" s="137">
        <f>VLOOKUP(B12,ИСХОДНИК!A:P,6,FALSE())</f>
        <v>12</v>
      </c>
      <c r="E12" s="105">
        <f>VLOOKUP(B12,ИСХОДНИК!A:P,7,FALSE())</f>
        <v>20</v>
      </c>
      <c r="F12" s="137" t="str">
        <f>VLOOKUP(B12,ИСХОДНИК!A:P,10,FALSE())</f>
        <v>R717, R744 и фреоны</v>
      </c>
      <c r="G12" s="137" t="str">
        <f>VLOOKUP(B12,ИСХОДНИК!A:P,9,FALSE())</f>
        <v xml:space="preserve"> -50…100</v>
      </c>
      <c r="H12" s="212" t="str">
        <f>VLOOKUP(B12,ИСХОДНИК!A:K,11,FALSE())</f>
        <v>Вход - резьба G 1 1/4"
Выход - резьба G 1 1/2"</v>
      </c>
      <c r="I12" s="105" t="str">
        <f>VLOOKUP(B12,ИСХОДНИК!A:P,15,FALSE())</f>
        <v>U6 PL40R</v>
      </c>
      <c r="J12" s="139">
        <f>VLOOKUP(B12,ИСХОДНИК!A:P,13,FALSE())</f>
        <v>360000</v>
      </c>
      <c r="K12" s="139">
        <f>VLOOKUP(B12,ИСХОДНИК!A:P,14,FALSE())</f>
        <v>417600</v>
      </c>
      <c r="L12" s="140" t="str">
        <f>IF(VLOOKUP(B12,ИСХОДНИК!$A:$R,18,FALSE())=1,ИСХОДНИК!$T$2,IF(VLOOKUP(B12,ИСХОДНИК!A:R,18,FALSE())=2,ИСХОДНИК!$T$5,IF(VLOOKUP(B12,ИСХОДНИК!A:R,18,FALSE())=3,ИСХОДНИК!$T$6)))</f>
        <v>○</v>
      </c>
      <c r="N12" s="97" t="s">
        <v>709</v>
      </c>
      <c r="O12" s="212" t="str">
        <f>VLOOKUP(N12,ИСХОДНИК!A:P,2,FALSE())</f>
        <v>Комплект фланцев DN 20 для одиночной установки предохранительного клапана SFV-R 20/25</v>
      </c>
      <c r="P12" s="105" t="str">
        <f>VLOOKUP(B12,ИСХОДНИК!A:P,15,FALSE())</f>
        <v>U6 PL40R</v>
      </c>
      <c r="Q12" s="139">
        <f>VLOOKUP(N12,ИСХОДНИК!A:P,13,FALSE())</f>
        <v>71400</v>
      </c>
      <c r="R12" s="139">
        <f>VLOOKUP(N12,ИСХОДНИК!A:P,14,FALSE())</f>
        <v>82824</v>
      </c>
      <c r="S12" s="105" t="e">
        <f>IF(VLOOKUP(N12,ИСХОДНИК!$A:$R,18,FALSE())=1,ИСХОДНИК!$T$2,IF(VLOOKUP(B12,ИСХОДНИК!A:R,18,FALSE())=2,ИСХОДНИК!$T$5,IF(VLOOKUP(B12,ИСХОДНИК!A:R,18,FALSE())=3,ИСХОДНИК!$T$6)))</f>
        <v>#N/A</v>
      </c>
    </row>
    <row r="13" spans="1:19" ht="29.25" customHeight="1">
      <c r="B13" s="97" t="s">
        <v>710</v>
      </c>
      <c r="C13" s="98" t="str">
        <f>VLOOKUP(B13,ИСХОДНИК!A:P,5,FALSE())</f>
        <v>SFV-R 20</v>
      </c>
      <c r="D13" s="137">
        <f>VLOOKUP(B13,ИСХОДНИК!A:P,6,FALSE())</f>
        <v>13</v>
      </c>
      <c r="E13" s="105">
        <f>VLOOKUP(B13,ИСХОДНИК!A:P,7,FALSE())</f>
        <v>20</v>
      </c>
      <c r="F13" s="137" t="str">
        <f>VLOOKUP(B13,ИСХОДНИК!A:P,10,FALSE())</f>
        <v>R717, R744 и фреоны</v>
      </c>
      <c r="G13" s="137" t="str">
        <f>VLOOKUP(B13,ИСХОДНИК!A:P,9,FALSE())</f>
        <v xml:space="preserve"> -50…100</v>
      </c>
      <c r="H13" s="212" t="str">
        <f>VLOOKUP(B13,ИСХОДНИК!A:K,11,FALSE())</f>
        <v>Вход - резьба G 1 1/4"
Выход - резьба G 1 1/2"</v>
      </c>
      <c r="I13" s="105" t="str">
        <f>VLOOKUP(B13,ИСХОДНИК!A:P,15,FALSE())</f>
        <v>U6 PL40R</v>
      </c>
      <c r="J13" s="139">
        <f>VLOOKUP(B13,ИСХОДНИК!A:P,13,FALSE())</f>
        <v>360000</v>
      </c>
      <c r="K13" s="139">
        <f>VLOOKUP(B13,ИСХОДНИК!A:P,14,FALSE())</f>
        <v>417600</v>
      </c>
      <c r="L13" s="140" t="str">
        <f>IF(VLOOKUP(B13,ИСХОДНИК!$A:$R,18,FALSE())=1,ИСХОДНИК!$T$2,IF(VLOOKUP(B13,ИСХОДНИК!A:R,18,FALSE())=2,ИСХОДНИК!$T$5,IF(VLOOKUP(B13,ИСХОДНИК!A:R,18,FALSE())=3,ИСХОДНИК!$T$6)))</f>
        <v>○</v>
      </c>
      <c r="N13" s="97" t="s">
        <v>711</v>
      </c>
      <c r="O13" s="212" t="str">
        <f>VLOOKUP(N13,ИСХОДНИК!A:P,2,FALSE())</f>
        <v>Комплект фланцев DN 25 для одиночной установки предохранительного клапана SFV-R 20/25</v>
      </c>
      <c r="P13" s="105" t="str">
        <f>VLOOKUP(B13,ИСХОДНИК!A:P,15,FALSE())</f>
        <v>U6 PL40R</v>
      </c>
      <c r="Q13" s="139">
        <f>VLOOKUP(N13,ИСХОДНИК!A:P,13,FALSE())</f>
        <v>71400</v>
      </c>
      <c r="R13" s="139">
        <f>VLOOKUP(N13,ИСХОДНИК!A:P,14,FALSE())</f>
        <v>82824</v>
      </c>
      <c r="S13" s="105" t="e">
        <f>IF(VLOOKUP(N13,ИСХОДНИК!$A:$R,18,FALSE())=1,ИСХОДНИК!$T$2,IF(VLOOKUP(B13,ИСХОДНИК!A:R,18,FALSE())=2,ИСХОДНИК!$T$5,IF(VLOOKUP(B13,ИСХОДНИК!A:R,18,FALSE())=3,ИСХОДНИК!$T$6)))</f>
        <v>#N/A</v>
      </c>
    </row>
    <row r="14" spans="1:19" ht="29.25" customHeight="1">
      <c r="B14" s="97" t="s">
        <v>712</v>
      </c>
      <c r="C14" s="98" t="str">
        <f>VLOOKUP(B14,ИСХОДНИК!A:P,5,FALSE())</f>
        <v>SFV-R 20</v>
      </c>
      <c r="D14" s="137">
        <f>VLOOKUP(B14,ИСХОДНИК!A:P,6,FALSE())</f>
        <v>14</v>
      </c>
      <c r="E14" s="105">
        <f>VLOOKUP(B14,ИСХОДНИК!A:P,7,FALSE())</f>
        <v>20</v>
      </c>
      <c r="F14" s="137" t="str">
        <f>VLOOKUP(B14,ИСХОДНИК!A:P,10,FALSE())</f>
        <v>R717, R744 и фреоны</v>
      </c>
      <c r="G14" s="137" t="str">
        <f>VLOOKUP(B14,ИСХОДНИК!A:P,9,FALSE())</f>
        <v xml:space="preserve"> -50…100</v>
      </c>
      <c r="H14" s="212" t="str">
        <f>VLOOKUP(B14,ИСХОДНИК!A:K,11,FALSE())</f>
        <v>Вход - резьба G 1 1/4"
Выход - резьба G 1 1/2"</v>
      </c>
      <c r="I14" s="105" t="str">
        <f>VLOOKUP(B14,ИСХОДНИК!A:P,15,FALSE())</f>
        <v>U6 PL40R</v>
      </c>
      <c r="J14" s="139">
        <f>VLOOKUP(B14,ИСХОДНИК!A:P,13,FALSE())</f>
        <v>360000</v>
      </c>
      <c r="K14" s="139">
        <f>VLOOKUP(B14,ИСХОДНИК!A:P,14,FALSE())</f>
        <v>417600</v>
      </c>
      <c r="L14" s="140" t="str">
        <f>IF(VLOOKUP(B14,ИСХОДНИК!$A:$R,18,FALSE())=1,ИСХОДНИК!$T$2,IF(VLOOKUP(B14,ИСХОДНИК!A:R,18,FALSE())=2,ИСХОДНИК!$T$5,IF(VLOOKUP(B14,ИСХОДНИК!A:R,18,FALSE())=3,ИСХОДНИК!$T$6)))</f>
        <v>○</v>
      </c>
      <c r="N14" s="97" t="s">
        <v>713</v>
      </c>
      <c r="O14" s="212" t="str">
        <f>VLOOKUP(N14,ИСХОДНИК!A:P,2,FALSE())</f>
        <v>Комплект фланцев DN 32 для одиночной установки предохранительного клапана SFV-R 20/25</v>
      </c>
      <c r="P14" s="105" t="str">
        <f>VLOOKUP(B14,ИСХОДНИК!A:P,15,FALSE())</f>
        <v>U6 PL40R</v>
      </c>
      <c r="Q14" s="139">
        <f>VLOOKUP(N14,ИСХОДНИК!A:P,13,FALSE())</f>
        <v>71400</v>
      </c>
      <c r="R14" s="139">
        <f>VLOOKUP(N14,ИСХОДНИК!A:P,14,FALSE())</f>
        <v>82824</v>
      </c>
      <c r="S14" s="105" t="e">
        <f>IF(VLOOKUP(N14,ИСХОДНИК!$A:$R,18,FALSE())=1,ИСХОДНИК!$T$2,IF(VLOOKUP(B14,ИСХОДНИК!A:R,18,FALSE())=2,ИСХОДНИК!$T$5,IF(VLOOKUP(B14,ИСХОДНИК!A:R,18,FALSE())=3,ИСХОДНИК!$T$6)))</f>
        <v>#N/A</v>
      </c>
    </row>
    <row r="15" spans="1:19" ht="29.25" customHeight="1">
      <c r="B15" s="97" t="s">
        <v>714</v>
      </c>
      <c r="C15" s="98" t="str">
        <f>VLOOKUP(B15,ИСХОДНИК!A:P,5,FALSE())</f>
        <v>SFV-R 20</v>
      </c>
      <c r="D15" s="137">
        <f>VLOOKUP(B15,ИСХОДНИК!A:P,6,FALSE())</f>
        <v>15</v>
      </c>
      <c r="E15" s="105">
        <f>VLOOKUP(B15,ИСХОДНИК!A:P,7,FALSE())</f>
        <v>20</v>
      </c>
      <c r="F15" s="137" t="str">
        <f>VLOOKUP(B15,ИСХОДНИК!A:P,10,FALSE())</f>
        <v>R717, R744 и фреоны</v>
      </c>
      <c r="G15" s="137" t="str">
        <f>VLOOKUP(B15,ИСХОДНИК!A:P,9,FALSE())</f>
        <v xml:space="preserve"> -50…100</v>
      </c>
      <c r="H15" s="212" t="str">
        <f>VLOOKUP(B15,ИСХОДНИК!A:K,11,FALSE())</f>
        <v>Вход - резьба G 1 1/4"
Выход - резьба G 1 1/2"</v>
      </c>
      <c r="I15" s="105" t="str">
        <f>VLOOKUP(B15,ИСХОДНИК!A:P,15,FALSE())</f>
        <v>U6 PL40R</v>
      </c>
      <c r="J15" s="139">
        <f>VLOOKUP(B15,ИСХОДНИК!A:P,13,FALSE())</f>
        <v>360000</v>
      </c>
      <c r="K15" s="139">
        <f>VLOOKUP(B15,ИСХОДНИК!A:P,14,FALSE())</f>
        <v>417600</v>
      </c>
      <c r="L15" s="140" t="str">
        <f>IF(VLOOKUP(B15,ИСХОДНИК!$A:$R,18,FALSE())=1,ИСХОДНИК!$T$2,IF(VLOOKUP(B15,ИСХОДНИК!A:R,18,FALSE())=2,ИСХОДНИК!$T$5,IF(VLOOKUP(B15,ИСХОДНИК!A:R,18,FALSE())=3,ИСХОДНИК!$T$6)))</f>
        <v>○</v>
      </c>
    </row>
    <row r="16" spans="1:19" ht="29.25" customHeight="1">
      <c r="B16" s="97" t="s">
        <v>715</v>
      </c>
      <c r="C16" s="98" t="str">
        <f>VLOOKUP(B16,ИСХОДНИК!A:P,5,FALSE())</f>
        <v>SFV-R 20</v>
      </c>
      <c r="D16" s="137">
        <f>VLOOKUP(B16,ИСХОДНИК!A:P,6,FALSE())</f>
        <v>16</v>
      </c>
      <c r="E16" s="105">
        <f>VLOOKUP(B16,ИСХОДНИК!A:P,7,FALSE())</f>
        <v>20</v>
      </c>
      <c r="F16" s="137" t="str">
        <f>VLOOKUP(B16,ИСХОДНИК!A:P,10,FALSE())</f>
        <v>R717, R744 и фреоны</v>
      </c>
      <c r="G16" s="137" t="str">
        <f>VLOOKUP(B16,ИСХОДНИК!A:P,9,FALSE())</f>
        <v xml:space="preserve"> -50…100</v>
      </c>
      <c r="H16" s="212" t="str">
        <f>VLOOKUP(B16,ИСХОДНИК!A:K,11,FALSE())</f>
        <v>Вход - резьба G 1 1/4"
Выход - резьба G 1 1/2"</v>
      </c>
      <c r="I16" s="105" t="str">
        <f>VLOOKUP(B16,ИСХОДНИК!A:P,15,FALSE())</f>
        <v>U6 PL40R</v>
      </c>
      <c r="J16" s="139">
        <f>VLOOKUP(B16,ИСХОДНИК!A:P,13,FALSE())</f>
        <v>360000</v>
      </c>
      <c r="K16" s="139">
        <f>VLOOKUP(B16,ИСХОДНИК!A:P,14,FALSE())</f>
        <v>417600</v>
      </c>
      <c r="L16" s="140" t="str">
        <f>IF(VLOOKUP(B16,ИСХОДНИК!$A:$R,18,FALSE())=1,ИСХОДНИК!$T$2,IF(VLOOKUP(B16,ИСХОДНИК!A:R,18,FALSE())=2,ИСХОДНИК!$T$5,IF(VLOOKUP(B16,ИСХОДНИК!A:R,18,FALSE())=3,ИСХОДНИК!$T$6)))</f>
        <v>○</v>
      </c>
    </row>
    <row r="17" spans="2:13" ht="29.25" customHeight="1">
      <c r="B17" s="97" t="s">
        <v>716</v>
      </c>
      <c r="C17" s="98" t="str">
        <f>VLOOKUP(B17,ИСХОДНИК!A:P,5,FALSE())</f>
        <v>SFV-R 20</v>
      </c>
      <c r="D17" s="137">
        <f>VLOOKUP(B17,ИСХОДНИК!A:P,6,FALSE())</f>
        <v>17</v>
      </c>
      <c r="E17" s="105">
        <f>VLOOKUP(B17,ИСХОДНИК!A:P,7,FALSE())</f>
        <v>20</v>
      </c>
      <c r="F17" s="137" t="str">
        <f>VLOOKUP(B17,ИСХОДНИК!A:P,10,FALSE())</f>
        <v>R717, R744 и фреоны</v>
      </c>
      <c r="G17" s="137" t="str">
        <f>VLOOKUP(B17,ИСХОДНИК!A:P,9,FALSE())</f>
        <v xml:space="preserve"> -50…100</v>
      </c>
      <c r="H17" s="212" t="str">
        <f>VLOOKUP(B17,ИСХОДНИК!A:K,11,FALSE())</f>
        <v>Вход - резьба G 1 1/4"
Выход - резьба G 1 1/2"</v>
      </c>
      <c r="I17" s="105" t="str">
        <f>VLOOKUP(B17,ИСХОДНИК!A:P,15,FALSE())</f>
        <v>U6 PL40R</v>
      </c>
      <c r="J17" s="139">
        <f>VLOOKUP(B17,ИСХОДНИК!A:P,13,FALSE())</f>
        <v>360000</v>
      </c>
      <c r="K17" s="139">
        <f>VLOOKUP(B17,ИСХОДНИК!A:P,14,FALSE())</f>
        <v>417600</v>
      </c>
      <c r="L17" s="140" t="str">
        <f>IF(VLOOKUP(B17,ИСХОДНИК!$A:$R,18,FALSE())=1,ИСХОДНИК!$T$2,IF(VLOOKUP(B17,ИСХОДНИК!A:R,18,FALSE())=2,ИСХОДНИК!$T$5,IF(VLOOKUP(B17,ИСХОДНИК!A:R,18,FALSE())=3,ИСХОДНИК!$T$6)))</f>
        <v>○</v>
      </c>
    </row>
    <row r="18" spans="2:13" ht="29.25" customHeight="1">
      <c r="B18" s="97" t="s">
        <v>717</v>
      </c>
      <c r="C18" s="98" t="str">
        <f>VLOOKUP(B18,ИСХОДНИК!A:P,5,FALSE())</f>
        <v>SFV-R 20</v>
      </c>
      <c r="D18" s="137">
        <f>VLOOKUP(B18,ИСХОДНИК!A:P,6,FALSE())</f>
        <v>18</v>
      </c>
      <c r="E18" s="105">
        <f>VLOOKUP(B18,ИСХОДНИК!A:P,7,FALSE())</f>
        <v>20</v>
      </c>
      <c r="F18" s="137" t="str">
        <f>VLOOKUP(B18,ИСХОДНИК!A:P,10,FALSE())</f>
        <v>R717, R744 и фреоны</v>
      </c>
      <c r="G18" s="137" t="str">
        <f>VLOOKUP(B18,ИСХОДНИК!A:P,9,FALSE())</f>
        <v xml:space="preserve"> -50…100</v>
      </c>
      <c r="H18" s="212" t="str">
        <f>VLOOKUP(B18,ИСХОДНИК!A:K,11,FALSE())</f>
        <v>Вход - резьба G 1 1/4"
Выход - резьба G 1 1/2"</v>
      </c>
      <c r="I18" s="105" t="str">
        <f>VLOOKUP(B18,ИСХОДНИК!A:P,15,FALSE())</f>
        <v>U6 PL40R</v>
      </c>
      <c r="J18" s="139">
        <f>VLOOKUP(B18,ИСХОДНИК!A:P,13,FALSE())</f>
        <v>360000</v>
      </c>
      <c r="K18" s="139">
        <f>VLOOKUP(B18,ИСХОДНИК!A:P,14,FALSE())</f>
        <v>417600</v>
      </c>
      <c r="L18" s="140" t="str">
        <f>IF(VLOOKUP(B18,ИСХОДНИК!$A:$R,18,FALSE())=1,ИСХОДНИК!$T$2,IF(VLOOKUP(B18,ИСХОДНИК!A:R,18,FALSE())=2,ИСХОДНИК!$T$5,IF(VLOOKUP(B18,ИСХОДНИК!A:R,18,FALSE())=3,ИСХОДНИК!$T$6)))</f>
        <v>○</v>
      </c>
    </row>
    <row r="19" spans="2:13" ht="29.25" customHeight="1">
      <c r="B19" s="97" t="s">
        <v>718</v>
      </c>
      <c r="C19" s="98" t="str">
        <f>VLOOKUP(B19,ИСХОДНИК!A:P,5,FALSE())</f>
        <v>SFV-R 20</v>
      </c>
      <c r="D19" s="137">
        <f>VLOOKUP(B19,ИСХОДНИК!A:P,6,FALSE())</f>
        <v>19</v>
      </c>
      <c r="E19" s="105">
        <f>VLOOKUP(B19,ИСХОДНИК!A:P,7,FALSE())</f>
        <v>20</v>
      </c>
      <c r="F19" s="137" t="str">
        <f>VLOOKUP(B19,ИСХОДНИК!A:P,10,FALSE())</f>
        <v>R717, R744 и фреоны</v>
      </c>
      <c r="G19" s="137" t="str">
        <f>VLOOKUP(B19,ИСХОДНИК!A:P,9,FALSE())</f>
        <v xml:space="preserve"> -50…100</v>
      </c>
      <c r="H19" s="212" t="str">
        <f>VLOOKUP(B19,ИСХОДНИК!A:K,11,FALSE())</f>
        <v>Вход - резьба G 1 1/4"
Выход - резьба G 1 1/2"</v>
      </c>
      <c r="I19" s="105" t="str">
        <f>VLOOKUP(B19,ИСХОДНИК!A:P,15,FALSE())</f>
        <v>U6 PL40R</v>
      </c>
      <c r="J19" s="139">
        <f>VLOOKUP(B19,ИСХОДНИК!A:P,13,FALSE())</f>
        <v>360000</v>
      </c>
      <c r="K19" s="139">
        <f>VLOOKUP(B19,ИСХОДНИК!A:P,14,FALSE())</f>
        <v>417600</v>
      </c>
      <c r="L19" s="140" t="str">
        <f>IF(VLOOKUP(B19,ИСХОДНИК!$A:$R,18,FALSE())=1,ИСХОДНИК!$T$2,IF(VLOOKUP(B19,ИСХОДНИК!A:R,18,FALSE())=2,ИСХОДНИК!$T$5,IF(VLOOKUP(B19,ИСХОДНИК!A:R,18,FALSE())=3,ИСХОДНИК!$T$6)))</f>
        <v>○</v>
      </c>
    </row>
    <row r="20" spans="2:13" ht="29.25" customHeight="1">
      <c r="B20" s="97" t="s">
        <v>719</v>
      </c>
      <c r="C20" s="98" t="str">
        <f>VLOOKUP(B20,ИСХОДНИК!A:P,5,FALSE())</f>
        <v>SFV-R 20</v>
      </c>
      <c r="D20" s="137">
        <f>VLOOKUP(B20,ИСХОДНИК!A:P,6,FALSE())</f>
        <v>20</v>
      </c>
      <c r="E20" s="105">
        <f>VLOOKUP(B20,ИСХОДНИК!A:P,7,FALSE())</f>
        <v>20</v>
      </c>
      <c r="F20" s="137" t="str">
        <f>VLOOKUP(B20,ИСХОДНИК!A:P,10,FALSE())</f>
        <v>R717, R744 и фреоны</v>
      </c>
      <c r="G20" s="137" t="str">
        <f>VLOOKUP(B20,ИСХОДНИК!A:P,9,FALSE())</f>
        <v xml:space="preserve"> -50…100</v>
      </c>
      <c r="H20" s="212" t="str">
        <f>VLOOKUP(B20,ИСХОДНИК!A:K,11,FALSE())</f>
        <v>Вход - резьба G 1 1/4"
Выход - резьба G 1 1/2"</v>
      </c>
      <c r="I20" s="105" t="str">
        <f>VLOOKUP(B20,ИСХОДНИК!A:P,15,FALSE())</f>
        <v>U6 PL40R</v>
      </c>
      <c r="J20" s="139">
        <f>VLOOKUP(B20,ИСХОДНИК!A:P,13,FALSE())</f>
        <v>360000</v>
      </c>
      <c r="K20" s="139">
        <f>VLOOKUP(B20,ИСХОДНИК!A:P,14,FALSE())</f>
        <v>417600</v>
      </c>
      <c r="L20" s="140" t="str">
        <f>IF(VLOOKUP(B20,ИСХОДНИК!$A:$R,18,FALSE())=1,ИСХОДНИК!$T$2,IF(VLOOKUP(B20,ИСХОДНИК!A:R,18,FALSE())=2,ИСХОДНИК!$T$5,IF(VLOOKUP(B20,ИСХОДНИК!A:R,18,FALSE())=3,ИСХОДНИК!$T$6)))</f>
        <v>○</v>
      </c>
    </row>
    <row r="21" spans="2:13" ht="29.25" customHeight="1">
      <c r="B21" s="97" t="s">
        <v>720</v>
      </c>
      <c r="C21" s="98" t="str">
        <f>VLOOKUP(B21,ИСХОДНИК!A:P,5,FALSE())</f>
        <v>SFV-R 20</v>
      </c>
      <c r="D21" s="137">
        <f>VLOOKUP(B21,ИСХОДНИК!A:P,6,FALSE())</f>
        <v>21</v>
      </c>
      <c r="E21" s="105">
        <f>VLOOKUP(B21,ИСХОДНИК!A:P,7,FALSE())</f>
        <v>20</v>
      </c>
      <c r="F21" s="137" t="str">
        <f>VLOOKUP(B21,ИСХОДНИК!A:P,10,FALSE())</f>
        <v>R717, R744 и фреоны</v>
      </c>
      <c r="G21" s="137" t="str">
        <f>VLOOKUP(B21,ИСХОДНИК!A:P,9,FALSE())</f>
        <v xml:space="preserve"> -50…100</v>
      </c>
      <c r="H21" s="212" t="str">
        <f>VLOOKUP(B21,ИСХОДНИК!A:K,11,FALSE())</f>
        <v>Вход - резьба G 1 1/4"
Выход - резьба G 1 1/2"</v>
      </c>
      <c r="I21" s="105" t="str">
        <f>VLOOKUP(B21,ИСХОДНИК!A:P,15,FALSE())</f>
        <v>U6 PL40R</v>
      </c>
      <c r="J21" s="139">
        <f>VLOOKUP(B21,ИСХОДНИК!A:P,13,FALSE())</f>
        <v>360000</v>
      </c>
      <c r="K21" s="139">
        <f>VLOOKUP(B21,ИСХОДНИК!A:P,14,FALSE())</f>
        <v>417600</v>
      </c>
      <c r="L21" s="140" t="str">
        <f>IF(VLOOKUP(B21,ИСХОДНИК!$A:$R,18,FALSE())=1,ИСХОДНИК!$T$2,IF(VLOOKUP(B21,ИСХОДНИК!A:R,18,FALSE())=2,ИСХОДНИК!$T$5,IF(VLOOKUP(B21,ИСХОДНИК!A:R,18,FALSE())=3,ИСХОДНИК!$T$6)))</f>
        <v>○</v>
      </c>
    </row>
    <row r="22" spans="2:13" ht="29.25" customHeight="1">
      <c r="B22" s="97" t="s">
        <v>721</v>
      </c>
      <c r="C22" s="98" t="str">
        <f>VLOOKUP(B22,ИСХОДНИК!A:P,5,FALSE())</f>
        <v>SFV-R 20</v>
      </c>
      <c r="D22" s="137">
        <f>VLOOKUP(B22,ИСХОДНИК!A:P,6,FALSE())</f>
        <v>22</v>
      </c>
      <c r="E22" s="105">
        <f>VLOOKUP(B22,ИСХОДНИК!A:P,7,FALSE())</f>
        <v>20</v>
      </c>
      <c r="F22" s="137" t="str">
        <f>VLOOKUP(B22,ИСХОДНИК!A:P,10,FALSE())</f>
        <v>R717, R744 и фреоны</v>
      </c>
      <c r="G22" s="137" t="str">
        <f>VLOOKUP(B22,ИСХОДНИК!A:P,9,FALSE())</f>
        <v xml:space="preserve"> -50…100</v>
      </c>
      <c r="H22" s="212" t="str">
        <f>VLOOKUP(B22,ИСХОДНИК!A:K,11,FALSE())</f>
        <v>Вход - резьба G 1 1/4"
Выход - резьба G 1 1/2"</v>
      </c>
      <c r="I22" s="105" t="str">
        <f>VLOOKUP(B22,ИСХОДНИК!A:P,15,FALSE())</f>
        <v>U6 PL40R</v>
      </c>
      <c r="J22" s="139">
        <f>VLOOKUP(B22,ИСХОДНИК!A:P,13,FALSE())</f>
        <v>360000</v>
      </c>
      <c r="K22" s="139">
        <f>VLOOKUP(B22,ИСХОДНИК!A:P,14,FALSE())</f>
        <v>417600</v>
      </c>
      <c r="L22" s="140" t="str">
        <f>IF(VLOOKUP(B22,ИСХОДНИК!$A:$R,18,FALSE())=1,ИСХОДНИК!$T$2,IF(VLOOKUP(B22,ИСХОДНИК!A:R,18,FALSE())=2,ИСХОДНИК!$T$5,IF(VLOOKUP(B22,ИСХОДНИК!A:R,18,FALSE())=3,ИСХОДНИК!$T$6)))</f>
        <v>○</v>
      </c>
    </row>
    <row r="23" spans="2:13" ht="29.25" customHeight="1">
      <c r="B23" s="97" t="s">
        <v>722</v>
      </c>
      <c r="C23" s="98" t="str">
        <f>VLOOKUP(B23,ИСХОДНИК!A:P,5,FALSE())</f>
        <v>SFV-R 20</v>
      </c>
      <c r="D23" s="137">
        <f>VLOOKUP(B23,ИСХОДНИК!A:P,6,FALSE())</f>
        <v>23</v>
      </c>
      <c r="E23" s="105">
        <f>VLOOKUP(B23,ИСХОДНИК!A:P,7,FALSE())</f>
        <v>20</v>
      </c>
      <c r="F23" s="137" t="str">
        <f>VLOOKUP(B23,ИСХОДНИК!A:P,10,FALSE())</f>
        <v>R717, R744 и фреоны</v>
      </c>
      <c r="G23" s="137" t="str">
        <f>VLOOKUP(B23,ИСХОДНИК!A:P,9,FALSE())</f>
        <v xml:space="preserve"> -50…100</v>
      </c>
      <c r="H23" s="212" t="str">
        <f>VLOOKUP(B23,ИСХОДНИК!A:K,11,FALSE())</f>
        <v>Вход - резьба G 1 1/4"
Выход - резьба G 1 1/2"</v>
      </c>
      <c r="I23" s="105" t="str">
        <f>VLOOKUP(B23,ИСХОДНИК!A:P,15,FALSE())</f>
        <v>U6 PL40R</v>
      </c>
      <c r="J23" s="139">
        <f>VLOOKUP(B23,ИСХОДНИК!A:P,13,FALSE())</f>
        <v>360000</v>
      </c>
      <c r="K23" s="139">
        <f>VLOOKUP(B23,ИСХОДНИК!A:P,14,FALSE())</f>
        <v>417600</v>
      </c>
      <c r="L23" s="140" t="str">
        <f>IF(VLOOKUP(B23,ИСХОДНИК!$A:$R,18,FALSE())=1,ИСХОДНИК!$T$2,IF(VLOOKUP(B23,ИСХОДНИК!A:R,18,FALSE())=2,ИСХОДНИК!$T$5,IF(VLOOKUP(B23,ИСХОДНИК!A:R,18,FALSE())=3,ИСХОДНИК!$T$6)))</f>
        <v>○</v>
      </c>
    </row>
    <row r="24" spans="2:13" ht="29.25" customHeight="1">
      <c r="B24" s="97" t="s">
        <v>723</v>
      </c>
      <c r="C24" s="98" t="str">
        <f>VLOOKUP(B24,ИСХОДНИК!A:P,5,FALSE())</f>
        <v>SFV-R 20</v>
      </c>
      <c r="D24" s="137">
        <f>VLOOKUP(B24,ИСХОДНИК!A:P,6,FALSE())</f>
        <v>24</v>
      </c>
      <c r="E24" s="105">
        <f>VLOOKUP(B24,ИСХОДНИК!A:P,7,FALSE())</f>
        <v>20</v>
      </c>
      <c r="F24" s="137" t="str">
        <f>VLOOKUP(B24,ИСХОДНИК!A:P,10,FALSE())</f>
        <v>R717, R744 и фреоны</v>
      </c>
      <c r="G24" s="137" t="str">
        <f>VLOOKUP(B24,ИСХОДНИК!A:P,9,FALSE())</f>
        <v xml:space="preserve"> -50…100</v>
      </c>
      <c r="H24" s="212" t="str">
        <f>VLOOKUP(B24,ИСХОДНИК!A:K,11,FALSE())</f>
        <v>Вход - резьба G 1 1/4"
Выход - резьба G 1 1/2"</v>
      </c>
      <c r="I24" s="105" t="str">
        <f>VLOOKUP(B24,ИСХОДНИК!A:P,15,FALSE())</f>
        <v>U6 PL40R</v>
      </c>
      <c r="J24" s="139">
        <f>VLOOKUP(B24,ИСХОДНИК!A:P,13,FALSE())</f>
        <v>360000</v>
      </c>
      <c r="K24" s="139">
        <f>VLOOKUP(B24,ИСХОДНИК!A:P,14,FALSE())</f>
        <v>417600</v>
      </c>
      <c r="L24" s="140" t="str">
        <f>IF(VLOOKUP(B24,ИСХОДНИК!$A:$R,18,FALSE())=1,ИСХОДНИК!$T$2,IF(VLOOKUP(B24,ИСХОДНИК!A:R,18,FALSE())=2,ИСХОДНИК!$T$5,IF(VLOOKUP(B24,ИСХОДНИК!A:R,18,FALSE())=3,ИСХОДНИК!$T$6)))</f>
        <v>○</v>
      </c>
      <c r="M24" s="253"/>
    </row>
    <row r="25" spans="2:13" ht="29.25" customHeight="1">
      <c r="B25" s="97" t="s">
        <v>724</v>
      </c>
      <c r="C25" s="98" t="str">
        <f>VLOOKUP(B25,ИСХОДНИК!A:P,5,FALSE())</f>
        <v>SFV-R 20</v>
      </c>
      <c r="D25" s="137">
        <f>VLOOKUP(B25,ИСХОДНИК!A:P,6,FALSE())</f>
        <v>25</v>
      </c>
      <c r="E25" s="105">
        <f>VLOOKUP(B25,ИСХОДНИК!A:P,7,FALSE())</f>
        <v>20</v>
      </c>
      <c r="F25" s="137" t="str">
        <f>VLOOKUP(B25,ИСХОДНИК!A:P,10,FALSE())</f>
        <v>R717, R744 и фреоны</v>
      </c>
      <c r="G25" s="137" t="str">
        <f>VLOOKUP(B25,ИСХОДНИК!A:P,9,FALSE())</f>
        <v xml:space="preserve"> -50…100</v>
      </c>
      <c r="H25" s="212" t="str">
        <f>VLOOKUP(B25,ИСХОДНИК!A:K,11,FALSE())</f>
        <v>Вход - резьба G 1 1/4"
Выход - резьба G 1 1/2"</v>
      </c>
      <c r="I25" s="105" t="str">
        <f>VLOOKUP(B25,ИСХОДНИК!A:P,15,FALSE())</f>
        <v>U6 PL40R</v>
      </c>
      <c r="J25" s="139">
        <f>VLOOKUP(B25,ИСХОДНИК!A:P,13,FALSE())</f>
        <v>360000</v>
      </c>
      <c r="K25" s="139">
        <f>VLOOKUP(B25,ИСХОДНИК!A:P,14,FALSE())</f>
        <v>417600</v>
      </c>
      <c r="L25" s="140" t="str">
        <f>IF(VLOOKUP(B25,ИСХОДНИК!$A:$R,18,FALSE())=1,ИСХОДНИК!$T$2,IF(VLOOKUP(B25,ИСХОДНИК!A:R,18,FALSE())=2,ИСХОДНИК!$T$5,IF(VLOOKUP(B25,ИСХОДНИК!A:R,18,FALSE())=3,ИСХОДНИК!$T$6)))</f>
        <v>○</v>
      </c>
    </row>
    <row r="26" spans="2:13" ht="29.25" customHeight="1">
      <c r="B26" s="97" t="s">
        <v>725</v>
      </c>
      <c r="C26" s="98" t="str">
        <f>VLOOKUP(B26,ИСХОДНИК!A:P,5,FALSE())</f>
        <v>SFV-R 20</v>
      </c>
      <c r="D26" s="137">
        <f>VLOOKUP(B26,ИСХОДНИК!A:P,6,FALSE())</f>
        <v>26</v>
      </c>
      <c r="E26" s="105">
        <f>VLOOKUP(B26,ИСХОДНИК!A:P,7,FALSE())</f>
        <v>20</v>
      </c>
      <c r="F26" s="137" t="str">
        <f>VLOOKUP(B26,ИСХОДНИК!A:P,10,FALSE())</f>
        <v>R717, R744 и фреоны</v>
      </c>
      <c r="G26" s="137" t="str">
        <f>VLOOKUP(B26,ИСХОДНИК!A:P,9,FALSE())</f>
        <v xml:space="preserve"> -50…100</v>
      </c>
      <c r="H26" s="212" t="str">
        <f>VLOOKUP(B26,ИСХОДНИК!A:K,11,FALSE())</f>
        <v>Вход - резьба G 1 1/4"
Выход - резьба G 1 1/2"</v>
      </c>
      <c r="I26" s="105" t="str">
        <f>VLOOKUP(B26,ИСХОДНИК!A:P,15,FALSE())</f>
        <v>U6 PL40R</v>
      </c>
      <c r="J26" s="139">
        <f>VLOOKUP(B26,ИСХОДНИК!A:P,13,FALSE())</f>
        <v>360000</v>
      </c>
      <c r="K26" s="139">
        <f>VLOOKUP(B26,ИСХОДНИК!A:P,14,FALSE())</f>
        <v>417600</v>
      </c>
      <c r="L26" s="140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13" ht="29.25" customHeight="1">
      <c r="B27" s="97" t="s">
        <v>726</v>
      </c>
      <c r="C27" s="196" t="str">
        <f>VLOOKUP(B27,ИСХОДНИК!A:P,5,FALSE())</f>
        <v>SFV-R 20</v>
      </c>
      <c r="D27" s="137">
        <f>VLOOKUP(B27,ИСХОДНИК!A:P,6,FALSE())</f>
        <v>27</v>
      </c>
      <c r="E27" s="182">
        <f>VLOOKUP(B27,ИСХОДНИК!A:P,7,FALSE())</f>
        <v>20</v>
      </c>
      <c r="F27" s="137" t="str">
        <f>VLOOKUP(B27,ИСХОДНИК!A:P,10,FALSE())</f>
        <v>R717, R744 и фреоны</v>
      </c>
      <c r="G27" s="137" t="str">
        <f>VLOOKUP(B27,ИСХОДНИК!A:P,9,FALSE())</f>
        <v xml:space="preserve"> -50…100</v>
      </c>
      <c r="H27" s="212" t="str">
        <f>VLOOKUP(B27,ИСХОДНИК!A:K,11,FALSE())</f>
        <v>Вход - резьба G 1 1/4"
Выход - резьба G 1 1/2"</v>
      </c>
      <c r="I27" s="105" t="str">
        <f>VLOOKUP(B27,ИСХОДНИК!A:P,15,FALSE())</f>
        <v>U6 PL40R</v>
      </c>
      <c r="J27" s="139">
        <f>VLOOKUP(B27,ИСХОДНИК!A:P,13,FALSE())</f>
        <v>360000</v>
      </c>
      <c r="K27" s="139">
        <f>VLOOKUP(B27,ИСХОДНИК!A:P,14,FALSE())</f>
        <v>417600</v>
      </c>
      <c r="L27" s="198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13" ht="29.25" customHeight="1">
      <c r="B28" s="97" t="s">
        <v>727</v>
      </c>
      <c r="C28" s="196" t="str">
        <f>VLOOKUP(B28,ИСХОДНИК!A:P,5,FALSE())</f>
        <v>SFV-R 20</v>
      </c>
      <c r="D28" s="137">
        <f>VLOOKUP(B28,ИСХОДНИК!A:P,6,FALSE())</f>
        <v>28</v>
      </c>
      <c r="E28" s="182">
        <f>VLOOKUP(B28,ИСХОДНИК!A:P,7,FALSE())</f>
        <v>20</v>
      </c>
      <c r="F28" s="137" t="str">
        <f>VLOOKUP(B28,ИСХОДНИК!A:P,10,FALSE())</f>
        <v>R717, R744 и фреоны</v>
      </c>
      <c r="G28" s="137" t="str">
        <f>VLOOKUP(B28,ИСХОДНИК!A:P,9,FALSE())</f>
        <v xml:space="preserve"> -50…100</v>
      </c>
      <c r="H28" s="212" t="str">
        <f>VLOOKUP(B28,ИСХОДНИК!A:K,11,FALSE())</f>
        <v>Вход - резьба G 1 1/4"
Выход - резьба G 1 1/2"</v>
      </c>
      <c r="I28" s="105" t="str">
        <f>VLOOKUP(B28,ИСХОДНИК!A:P,15,FALSE())</f>
        <v>U6 PL40R</v>
      </c>
      <c r="J28" s="139">
        <f>VLOOKUP(B28,ИСХОДНИК!A:P,13,FALSE())</f>
        <v>360000</v>
      </c>
      <c r="K28" s="139">
        <f>VLOOKUP(B28,ИСХОДНИК!A:P,14,FALSE())</f>
        <v>417600</v>
      </c>
      <c r="L28" s="198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13" ht="29.25" customHeight="1">
      <c r="B29" s="97" t="s">
        <v>728</v>
      </c>
      <c r="C29" s="196" t="str">
        <f>VLOOKUP(B29,ИСХОДНИК!A:P,5,FALSE())</f>
        <v>SFV-R 20</v>
      </c>
      <c r="D29" s="137">
        <f>VLOOKUP(B29,ИСХОДНИК!A:P,6,FALSE())</f>
        <v>29</v>
      </c>
      <c r="E29" s="182">
        <f>VLOOKUP(B29,ИСХОДНИК!A:P,7,FALSE())</f>
        <v>20</v>
      </c>
      <c r="F29" s="137" t="str">
        <f>VLOOKUP(B29,ИСХОДНИК!A:P,10,FALSE())</f>
        <v>R717, R744 и фреоны</v>
      </c>
      <c r="G29" s="137" t="str">
        <f>VLOOKUP(B29,ИСХОДНИК!A:P,9,FALSE())</f>
        <v xml:space="preserve"> -50…100</v>
      </c>
      <c r="H29" s="212" t="str">
        <f>VLOOKUP(B29,ИСХОДНИК!A:K,11,FALSE())</f>
        <v>Вход - резьба G 1 1/4"
Выход - резьба G 1 1/2"</v>
      </c>
      <c r="I29" s="105" t="str">
        <f>VLOOKUP(B29,ИСХОДНИК!A:P,15,FALSE())</f>
        <v>U6 PL40R</v>
      </c>
      <c r="J29" s="139">
        <f>VLOOKUP(B29,ИСХОДНИК!A:P,13,FALSE())</f>
        <v>360000</v>
      </c>
      <c r="K29" s="139">
        <f>VLOOKUP(B29,ИСХОДНИК!A:P,14,FALSE())</f>
        <v>417600</v>
      </c>
      <c r="L29" s="198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13" ht="29.25" customHeight="1">
      <c r="B30" s="97" t="s">
        <v>729</v>
      </c>
      <c r="C30" s="196" t="str">
        <f>VLOOKUP(B30,ИСХОДНИК!A:P,5,FALSE())</f>
        <v>SFV-R 20</v>
      </c>
      <c r="D30" s="137">
        <f>VLOOKUP(B30,ИСХОДНИК!A:P,6,FALSE())</f>
        <v>30</v>
      </c>
      <c r="E30" s="182">
        <f>VLOOKUP(B30,ИСХОДНИК!A:P,7,FALSE())</f>
        <v>20</v>
      </c>
      <c r="F30" s="137" t="str">
        <f>VLOOKUP(B30,ИСХОДНИК!A:P,10,FALSE())</f>
        <v>R717, R744 и фреоны</v>
      </c>
      <c r="G30" s="137" t="str">
        <f>VLOOKUP(B30,ИСХОДНИК!A:P,9,FALSE())</f>
        <v xml:space="preserve"> -50…100</v>
      </c>
      <c r="H30" s="212" t="str">
        <f>VLOOKUP(B30,ИСХОДНИК!A:K,11,FALSE())</f>
        <v>Вход - резьба G 1 1/4"
Выход - резьба G 1 1/2"</v>
      </c>
      <c r="I30" s="105" t="str">
        <f>VLOOKUP(B30,ИСХОДНИК!A:P,15,FALSE())</f>
        <v>U6 PL40R</v>
      </c>
      <c r="J30" s="139">
        <f>VLOOKUP(B30,ИСХОДНИК!A:P,13,FALSE())</f>
        <v>360000</v>
      </c>
      <c r="K30" s="139">
        <f>VLOOKUP(B30,ИСХОДНИК!A:P,14,FALSE())</f>
        <v>417600</v>
      </c>
      <c r="L30" s="198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13" ht="29.25" customHeight="1">
      <c r="B31" s="97" t="s">
        <v>730</v>
      </c>
      <c r="C31" s="196" t="str">
        <f>VLOOKUP(B31,ИСХОДНИК!A:P,5,FALSE())</f>
        <v>SFV-R 20</v>
      </c>
      <c r="D31" s="137">
        <f>VLOOKUP(B31,ИСХОДНИК!A:P,6,FALSE())</f>
        <v>31</v>
      </c>
      <c r="E31" s="182">
        <f>VLOOKUP(B31,ИСХОДНИК!A:P,7,FALSE())</f>
        <v>20</v>
      </c>
      <c r="F31" s="137" t="str">
        <f>VLOOKUP(B31,ИСХОДНИК!A:P,10,FALSE())</f>
        <v>R717, R744 и фреоны</v>
      </c>
      <c r="G31" s="137" t="str">
        <f>VLOOKUP(B31,ИСХОДНИК!A:P,9,FALSE())</f>
        <v xml:space="preserve"> -50…100</v>
      </c>
      <c r="H31" s="212" t="str">
        <f>VLOOKUP(B31,ИСХОДНИК!A:K,11,FALSE())</f>
        <v>Вход - резьба G 1 1/4"
Выход - резьба G 1 1/2"</v>
      </c>
      <c r="I31" s="105" t="str">
        <f>VLOOKUP(B31,ИСХОДНИК!A:P,15,FALSE())</f>
        <v>U6 PL40R</v>
      </c>
      <c r="J31" s="139">
        <f>VLOOKUP(B31,ИСХОДНИК!A:P,13,FALSE())</f>
        <v>360000</v>
      </c>
      <c r="K31" s="139">
        <f>VLOOKUP(B31,ИСХОДНИК!A:P,14,FALSE())</f>
        <v>417600</v>
      </c>
      <c r="L31" s="198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13" ht="29.25" customHeight="1">
      <c r="B32" s="97" t="s">
        <v>731</v>
      </c>
      <c r="C32" s="196" t="str">
        <f>VLOOKUP(B32,ИСХОДНИК!A:P,5,FALSE())</f>
        <v>SFV-R 20</v>
      </c>
      <c r="D32" s="137">
        <f>VLOOKUP(B32,ИСХОДНИК!A:P,6,FALSE())</f>
        <v>32</v>
      </c>
      <c r="E32" s="182">
        <f>VLOOKUP(B32,ИСХОДНИК!A:P,7,FALSE())</f>
        <v>20</v>
      </c>
      <c r="F32" s="137" t="str">
        <f>VLOOKUP(B32,ИСХОДНИК!A:P,10,FALSE())</f>
        <v>R717, R744 и фреоны</v>
      </c>
      <c r="G32" s="137" t="str">
        <f>VLOOKUP(B32,ИСХОДНИК!A:P,9,FALSE())</f>
        <v xml:space="preserve"> -50…100</v>
      </c>
      <c r="H32" s="212" t="str">
        <f>VLOOKUP(B32,ИСХОДНИК!A:K,11,FALSE())</f>
        <v>Вход - резьба G 1 1/4"
Выход - резьба G 1 1/2"</v>
      </c>
      <c r="I32" s="105" t="str">
        <f>VLOOKUP(B32,ИСХОДНИК!A:P,15,FALSE())</f>
        <v>U6 PL40R</v>
      </c>
      <c r="J32" s="139">
        <f>VLOOKUP(B32,ИСХОДНИК!A:P,13,FALSE())</f>
        <v>360000</v>
      </c>
      <c r="K32" s="139">
        <f>VLOOKUP(B32,ИСХОДНИК!A:P,14,FALSE())</f>
        <v>417600</v>
      </c>
      <c r="L32" s="198" t="str">
        <f>IF(VLOOKUP(B32,ИСХОДНИК!A:R,18,FALSE())=1,ИСХОДНИК!$T$2,IF(VLOOKUP(B32,ИСХОДНИК!A:R,18,FALSE())=2,ИСХОДНИК!$T$5,IF(VLOOKUP(B32,ИСХОДНИК!A:R,18,FALSE())=3,ИСХОДНИК!$T$6)))</f>
        <v>○</v>
      </c>
    </row>
    <row r="33" spans="2:12" ht="29.25" customHeight="1">
      <c r="B33" s="97" t="s">
        <v>732</v>
      </c>
      <c r="C33" s="196" t="str">
        <f>VLOOKUP(B33,ИСХОДНИК!A:P,5,FALSE())</f>
        <v>SFV-R 20</v>
      </c>
      <c r="D33" s="137">
        <f>VLOOKUP(B33,ИСХОДНИК!A:P,6,FALSE())</f>
        <v>33</v>
      </c>
      <c r="E33" s="182">
        <f>VLOOKUP(B33,ИСХОДНИК!A:P,7,FALSE())</f>
        <v>20</v>
      </c>
      <c r="F33" s="137" t="str">
        <f>VLOOKUP(B33,ИСХОДНИК!A:P,10,FALSE())</f>
        <v>R717, R744 и фреоны</v>
      </c>
      <c r="G33" s="137" t="str">
        <f>VLOOKUP(B33,ИСХОДНИК!A:P,9,FALSE())</f>
        <v xml:space="preserve"> -50…100</v>
      </c>
      <c r="H33" s="212" t="str">
        <f>VLOOKUP(B33,ИСХОДНИК!A:K,11,FALSE())</f>
        <v>Вход - резьба G 1 1/4"
Выход - резьба G 1 1/2"</v>
      </c>
      <c r="I33" s="105" t="str">
        <f>VLOOKUP(B33,ИСХОДНИК!A:P,15,FALSE())</f>
        <v>U6 PL40R</v>
      </c>
      <c r="J33" s="139">
        <f>VLOOKUP(B33,ИСХОДНИК!A:P,13,FALSE())</f>
        <v>360000</v>
      </c>
      <c r="K33" s="139">
        <f>VLOOKUP(B33,ИСХОДНИК!A:P,14,FALSE())</f>
        <v>417600</v>
      </c>
      <c r="L33" s="198" t="str">
        <f>IF(VLOOKUP(B33,ИСХОДНИК!A:R,18,FALSE())=1,ИСХОДНИК!$T$2,IF(VLOOKUP(B33,ИСХОДНИК!A:R,18,FALSE())=2,ИСХОДНИК!$T$5,IF(VLOOKUP(B33,ИСХОДНИК!A:R,18,FALSE())=3,ИСХОДНИК!$T$6)))</f>
        <v>○</v>
      </c>
    </row>
    <row r="34" spans="2:12" ht="29.25" customHeight="1">
      <c r="B34" s="97" t="s">
        <v>733</v>
      </c>
      <c r="C34" s="196" t="str">
        <f>VLOOKUP(B34,ИСХОДНИК!A:P,5,FALSE())</f>
        <v>SFV-R 20</v>
      </c>
      <c r="D34" s="137">
        <f>VLOOKUP(B34,ИСХОДНИК!A:P,6,FALSE())</f>
        <v>34</v>
      </c>
      <c r="E34" s="182">
        <f>VLOOKUP(B34,ИСХОДНИК!A:P,7,FALSE())</f>
        <v>20</v>
      </c>
      <c r="F34" s="137" t="str">
        <f>VLOOKUP(B34,ИСХОДНИК!A:P,10,FALSE())</f>
        <v>R717, R744 и фреоны</v>
      </c>
      <c r="G34" s="137" t="str">
        <f>VLOOKUP(B34,ИСХОДНИК!A:P,9,FALSE())</f>
        <v xml:space="preserve"> -50…100</v>
      </c>
      <c r="H34" s="212" t="str">
        <f>VLOOKUP(B34,ИСХОДНИК!A:K,11,FALSE())</f>
        <v>Вход - резьба G 1 1/4"
Выход - резьба G 1 1/2"</v>
      </c>
      <c r="I34" s="105" t="str">
        <f>VLOOKUP(B34,ИСХОДНИК!A:P,15,FALSE())</f>
        <v>U6 PL40R</v>
      </c>
      <c r="J34" s="139">
        <f>VLOOKUP(B34,ИСХОДНИК!A:P,13,FALSE())</f>
        <v>360000</v>
      </c>
      <c r="K34" s="139">
        <f>VLOOKUP(B34,ИСХОДНИК!A:P,14,FALSE())</f>
        <v>417600</v>
      </c>
      <c r="L34" s="198" t="str">
        <f>IF(VLOOKUP(B34,ИСХОДНИК!A:R,18,FALSE())=1,ИСХОДНИК!$T$2,IF(VLOOKUP(B34,ИСХОДНИК!A:R,18,FALSE())=2,ИСХОДНИК!$T$5,IF(VLOOKUP(B34,ИСХОДНИК!A:R,18,FALSE())=3,ИСХОДНИК!$T$6)))</f>
        <v>○</v>
      </c>
    </row>
    <row r="35" spans="2:12" ht="29.25" customHeight="1">
      <c r="B35" s="97" t="s">
        <v>734</v>
      </c>
      <c r="C35" s="196" t="str">
        <f>VLOOKUP(B35,ИСХОДНИК!A:P,5,FALSE())</f>
        <v>SFV-R 20</v>
      </c>
      <c r="D35" s="137">
        <f>VLOOKUP(B35,ИСХОДНИК!A:P,6,FALSE())</f>
        <v>35</v>
      </c>
      <c r="E35" s="182">
        <f>VLOOKUP(B35,ИСХОДНИК!A:P,7,FALSE())</f>
        <v>20</v>
      </c>
      <c r="F35" s="137" t="str">
        <f>VLOOKUP(B35,ИСХОДНИК!A:P,10,FALSE())</f>
        <v>R717, R744 и фреоны</v>
      </c>
      <c r="G35" s="137" t="str">
        <f>VLOOKUP(B35,ИСХОДНИК!A:P,9,FALSE())</f>
        <v xml:space="preserve"> -50…100</v>
      </c>
      <c r="H35" s="212" t="str">
        <f>VLOOKUP(B35,ИСХОДНИК!A:K,11,FALSE())</f>
        <v>Вход - резьба G 1 1/4"
Выход - резьба G 1 1/2"</v>
      </c>
      <c r="I35" s="105" t="str">
        <f>VLOOKUP(B35,ИСХОДНИК!A:P,15,FALSE())</f>
        <v>U6 PL40R</v>
      </c>
      <c r="J35" s="139">
        <f>VLOOKUP(B35,ИСХОДНИК!A:P,13,FALSE())</f>
        <v>360000</v>
      </c>
      <c r="K35" s="139">
        <f>VLOOKUP(B35,ИСХОДНИК!A:P,14,FALSE())</f>
        <v>417600</v>
      </c>
      <c r="L35" s="198" t="str">
        <f>IF(VLOOKUP(B35,ИСХОДНИК!A:R,18,FALSE())=1,ИСХОДНИК!$T$2,IF(VLOOKUP(B35,ИСХОДНИК!A:R,18,FALSE())=2,ИСХОДНИК!$T$5,IF(VLOOKUP(B35,ИСХОДНИК!A:R,18,FALSE())=3,ИСХОДНИК!$T$6)))</f>
        <v>○</v>
      </c>
    </row>
    <row r="36" spans="2:12" ht="29.25" customHeight="1">
      <c r="B36" s="97" t="s">
        <v>735</v>
      </c>
      <c r="C36" s="196" t="str">
        <f>VLOOKUP(B36,ИСХОДНИК!A:P,5,FALSE())</f>
        <v>SFV-R 20</v>
      </c>
      <c r="D36" s="137">
        <f>VLOOKUP(B36,ИСХОДНИК!A:P,6,FALSE())</f>
        <v>36</v>
      </c>
      <c r="E36" s="182">
        <f>VLOOKUP(B36,ИСХОДНИК!A:P,7,FALSE())</f>
        <v>20</v>
      </c>
      <c r="F36" s="137" t="str">
        <f>VLOOKUP(B36,ИСХОДНИК!A:P,10,FALSE())</f>
        <v>R717, R744 и фреоны</v>
      </c>
      <c r="G36" s="137" t="str">
        <f>VLOOKUP(B36,ИСХОДНИК!A:P,9,FALSE())</f>
        <v xml:space="preserve"> -50…100</v>
      </c>
      <c r="H36" s="212" t="str">
        <f>VLOOKUP(B36,ИСХОДНИК!A:K,11,FALSE())</f>
        <v>Вход - резьба G 1 1/4"
Выход - резьба G 1 1/2"</v>
      </c>
      <c r="I36" s="105" t="str">
        <f>VLOOKUP(B36,ИСХОДНИК!A:P,15,FALSE())</f>
        <v>U6 PL40R</v>
      </c>
      <c r="J36" s="139">
        <f>VLOOKUP(B36,ИСХОДНИК!A:P,13,FALSE())</f>
        <v>360000</v>
      </c>
      <c r="K36" s="139">
        <f>VLOOKUP(B36,ИСХОДНИК!A:P,14,FALSE())</f>
        <v>417600</v>
      </c>
      <c r="L36" s="198" t="str">
        <f>IF(VLOOKUP(B36,ИСХОДНИК!A:R,18,FALSE())=1,ИСХОДНИК!$T$2,IF(VLOOKUP(B36,ИСХОДНИК!A:R,18,FALSE())=2,ИСХОДНИК!$T$5,IF(VLOOKUP(B36,ИСХОДНИК!A:R,18,FALSE())=3,ИСХОДНИК!$T$6)))</f>
        <v>○</v>
      </c>
    </row>
    <row r="37" spans="2:12" ht="29.25" customHeight="1">
      <c r="B37" s="97" t="s">
        <v>736</v>
      </c>
      <c r="C37" s="196" t="str">
        <f>VLOOKUP(B37,ИСХОДНИК!A:P,5,FALSE())</f>
        <v>SFV-R 20</v>
      </c>
      <c r="D37" s="137">
        <f>VLOOKUP(B37,ИСХОДНИК!A:P,6,FALSE())</f>
        <v>37</v>
      </c>
      <c r="E37" s="182">
        <f>VLOOKUP(B37,ИСХОДНИК!A:P,7,FALSE())</f>
        <v>20</v>
      </c>
      <c r="F37" s="137" t="str">
        <f>VLOOKUP(B37,ИСХОДНИК!A:P,10,FALSE())</f>
        <v>R717, R744 и фреоны</v>
      </c>
      <c r="G37" s="137" t="str">
        <f>VLOOKUP(B37,ИСХОДНИК!A:P,9,FALSE())</f>
        <v xml:space="preserve"> -50…100</v>
      </c>
      <c r="H37" s="212" t="str">
        <f>VLOOKUP(B37,ИСХОДНИК!A:K,11,FALSE())</f>
        <v>Вход - резьба G 1 1/4"
Выход - резьба G 1 1/2"</v>
      </c>
      <c r="I37" s="105" t="str">
        <f>VLOOKUP(B37,ИСХОДНИК!A:P,15,FALSE())</f>
        <v>U6 PL40R</v>
      </c>
      <c r="J37" s="139">
        <f>VLOOKUP(B37,ИСХОДНИК!A:P,13,FALSE())</f>
        <v>360000</v>
      </c>
      <c r="K37" s="139">
        <f>VLOOKUP(B37,ИСХОДНИК!A:P,14,FALSE())</f>
        <v>417600</v>
      </c>
      <c r="L37" s="198" t="str">
        <f>IF(VLOOKUP(B37,ИСХОДНИК!A:R,18,FALSE())=1,ИСХОДНИК!$T$2,IF(VLOOKUP(B37,ИСХОДНИК!A:R,18,FALSE())=2,ИСХОДНИК!$T$5,IF(VLOOKUP(B37,ИСХОДНИК!A:R,18,FALSE())=3,ИСХОДНИК!$T$6)))</f>
        <v>○</v>
      </c>
    </row>
    <row r="38" spans="2:12" ht="29.25" customHeight="1">
      <c r="B38" s="97" t="s">
        <v>737</v>
      </c>
      <c r="C38" s="196" t="str">
        <f>VLOOKUP(B38,ИСХОДНИК!A:P,5,FALSE())</f>
        <v>SFV-R 20</v>
      </c>
      <c r="D38" s="137">
        <f>VLOOKUP(B38,ИСХОДНИК!A:P,6,FALSE())</f>
        <v>38</v>
      </c>
      <c r="E38" s="182">
        <f>VLOOKUP(B38,ИСХОДНИК!A:P,7,FALSE())</f>
        <v>20</v>
      </c>
      <c r="F38" s="137" t="str">
        <f>VLOOKUP(B38,ИСХОДНИК!A:P,10,FALSE())</f>
        <v>R717, R744 и фреоны</v>
      </c>
      <c r="G38" s="137" t="str">
        <f>VLOOKUP(B38,ИСХОДНИК!A:P,9,FALSE())</f>
        <v xml:space="preserve"> -50…100</v>
      </c>
      <c r="H38" s="212" t="str">
        <f>VLOOKUP(B38,ИСХОДНИК!A:K,11,FALSE())</f>
        <v>Вход - резьба G 1 1/4"
Выход - резьба G 1 1/2"</v>
      </c>
      <c r="I38" s="105" t="str">
        <f>VLOOKUP(B38,ИСХОДНИК!A:P,15,FALSE())</f>
        <v>U6 PL40R</v>
      </c>
      <c r="J38" s="139">
        <f>VLOOKUP(B38,ИСХОДНИК!A:P,13,FALSE())</f>
        <v>360000</v>
      </c>
      <c r="K38" s="139">
        <f>VLOOKUP(B38,ИСХОДНИК!A:P,14,FALSE())</f>
        <v>417600</v>
      </c>
      <c r="L38" s="198" t="str">
        <f>IF(VLOOKUP(B38,ИСХОДНИК!A:R,18,FALSE())=1,ИСХОДНИК!$T$2,IF(VLOOKUP(B38,ИСХОДНИК!A:R,18,FALSE())=2,ИСХОДНИК!$T$5,IF(VLOOKUP(B38,ИСХОДНИК!A:R,18,FALSE())=3,ИСХОДНИК!$T$6)))</f>
        <v>○</v>
      </c>
    </row>
    <row r="39" spans="2:12" ht="29.25" customHeight="1">
      <c r="B39" s="97" t="s">
        <v>738</v>
      </c>
      <c r="C39" s="196" t="str">
        <f>VLOOKUP(B39,ИСХОДНИК!A:P,5,FALSE())</f>
        <v>SFV-R 20</v>
      </c>
      <c r="D39" s="137">
        <f>VLOOKUP(B39,ИСХОДНИК!A:P,6,FALSE())</f>
        <v>39</v>
      </c>
      <c r="E39" s="182">
        <f>VLOOKUP(B39,ИСХОДНИК!A:P,7,FALSE())</f>
        <v>20</v>
      </c>
      <c r="F39" s="137" t="str">
        <f>VLOOKUP(B39,ИСХОДНИК!A:P,10,FALSE())</f>
        <v>R717, R744 и фреоны</v>
      </c>
      <c r="G39" s="137" t="str">
        <f>VLOOKUP(B39,ИСХОДНИК!A:P,9,FALSE())</f>
        <v xml:space="preserve"> -50…100</v>
      </c>
      <c r="H39" s="212" t="str">
        <f>VLOOKUP(B39,ИСХОДНИК!A:K,11,FALSE())</f>
        <v>Вход - резьба G 1 1/4"
Выход - резьба G 1 1/2"</v>
      </c>
      <c r="I39" s="105" t="str">
        <f>VLOOKUP(B39,ИСХОДНИК!A:P,15,FALSE())</f>
        <v>U6 PL40R</v>
      </c>
      <c r="J39" s="139">
        <f>VLOOKUP(B39,ИСХОДНИК!A:P,13,FALSE())</f>
        <v>360000</v>
      </c>
      <c r="K39" s="139">
        <f>VLOOKUP(B39,ИСХОДНИК!A:P,14,FALSE())</f>
        <v>417600</v>
      </c>
      <c r="L39" s="198" t="str">
        <f>IF(VLOOKUP(B39,ИСХОДНИК!A:R,18,FALSE())=1,ИСХОДНИК!$T$2,IF(VLOOKUP(B39,ИСХОДНИК!A:R,18,FALSE())=2,ИСХОДНИК!$T$5,IF(VLOOKUP(B39,ИСХОДНИК!A:R,18,FALSE())=3,ИСХОДНИК!$T$6)))</f>
        <v>○</v>
      </c>
    </row>
    <row r="40" spans="2:12" ht="29.25" customHeight="1">
      <c r="B40" s="97" t="s">
        <v>739</v>
      </c>
      <c r="C40" s="196" t="str">
        <f>VLOOKUP(B40,ИСХОДНИК!A:P,5,FALSE())</f>
        <v>SFV-R 20</v>
      </c>
      <c r="D40" s="137">
        <f>VLOOKUP(B40,ИСХОДНИК!A:P,6,FALSE())</f>
        <v>40</v>
      </c>
      <c r="E40" s="182">
        <f>VLOOKUP(B40,ИСХОДНИК!A:P,7,FALSE())</f>
        <v>20</v>
      </c>
      <c r="F40" s="137" t="str">
        <f>VLOOKUP(B40,ИСХОДНИК!A:P,10,FALSE())</f>
        <v>R717, R744 и фреоны</v>
      </c>
      <c r="G40" s="137" t="str">
        <f>VLOOKUP(B40,ИСХОДНИК!A:P,9,FALSE())</f>
        <v xml:space="preserve"> -50…100</v>
      </c>
      <c r="H40" s="212" t="str">
        <f>VLOOKUP(B40,ИСХОДНИК!A:K,11,FALSE())</f>
        <v>Вход - резьба G 1 1/4"
Выход - резьба G 1 1/2"</v>
      </c>
      <c r="I40" s="105" t="str">
        <f>VLOOKUP(B40,ИСХОДНИК!A:P,15,FALSE())</f>
        <v>U6 PL40R</v>
      </c>
      <c r="J40" s="139">
        <f>VLOOKUP(B40,ИСХОДНИК!A:P,13,FALSE())</f>
        <v>360000</v>
      </c>
      <c r="K40" s="139">
        <f>VLOOKUP(B40,ИСХОДНИК!A:P,14,FALSE())</f>
        <v>417600</v>
      </c>
      <c r="L40" s="198" t="str">
        <f>IF(VLOOKUP(B40,ИСХОДНИК!A:R,18,FALSE())=1,ИСХОДНИК!$T$2,IF(VLOOKUP(B40,ИСХОДНИК!A:R,18,FALSE())=2,ИСХОДНИК!$T$5,IF(VLOOKUP(B40,ИСХОДНИК!A:R,18,FALSE())=3,ИСХОДНИК!$T$6)))</f>
        <v>○</v>
      </c>
    </row>
    <row r="41" spans="2:12" ht="29.25" customHeight="1">
      <c r="B41" s="97" t="s">
        <v>740</v>
      </c>
      <c r="C41" s="196" t="str">
        <f>VLOOKUP(B41,ИСХОДНИК!A:P,5,FALSE())</f>
        <v>SFV-R 25</v>
      </c>
      <c r="D41" s="137">
        <f>VLOOKUP(B41,ИСХОДНИК!A:P,6,FALSE())</f>
        <v>12</v>
      </c>
      <c r="E41" s="182">
        <f>VLOOKUP(B41,ИСХОДНИК!A:P,7,FALSE())</f>
        <v>25</v>
      </c>
      <c r="F41" s="137" t="str">
        <f>VLOOKUP(B41,ИСХОДНИК!A:P,10,FALSE())</f>
        <v>R717, R744 и фреоны</v>
      </c>
      <c r="G41" s="137" t="str">
        <f>VLOOKUP(B41,ИСХОДНИК!A:P,9,FALSE())</f>
        <v xml:space="preserve"> -50…100</v>
      </c>
      <c r="H41" s="212" t="str">
        <f>VLOOKUP(B41,ИСХОДНИК!A:K,11,FALSE())</f>
        <v>Вход - резьба G 1 1/4"
Выход - резьба G 1 1/2"</v>
      </c>
      <c r="I41" s="105" t="str">
        <f>VLOOKUP(B41,ИСХОДНИК!A:P,15,FALSE())</f>
        <v>U6 PL40R</v>
      </c>
      <c r="J41" s="139">
        <f>VLOOKUP(B41,ИСХОДНИК!A:P,13,FALSE())</f>
        <v>396000</v>
      </c>
      <c r="K41" s="139">
        <f>VLOOKUP(B41,ИСХОДНИК!A:P,14,FALSE())</f>
        <v>459359.99999999994</v>
      </c>
      <c r="L41" s="198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2" ht="29.25" customHeight="1">
      <c r="B42" s="97" t="s">
        <v>741</v>
      </c>
      <c r="C42" s="196" t="str">
        <f>VLOOKUP(B42,ИСХОДНИК!A:P,5,FALSE())</f>
        <v>SFV-R 25</v>
      </c>
      <c r="D42" s="137">
        <f>VLOOKUP(B42,ИСХОДНИК!A:P,6,FALSE())</f>
        <v>13</v>
      </c>
      <c r="E42" s="182">
        <f>VLOOKUP(B42,ИСХОДНИК!A:P,7,FALSE())</f>
        <v>25</v>
      </c>
      <c r="F42" s="137" t="str">
        <f>VLOOKUP(B42,ИСХОДНИК!A:P,10,FALSE())</f>
        <v>R717, R744 и фреоны</v>
      </c>
      <c r="G42" s="137" t="str">
        <f>VLOOKUP(B42,ИСХОДНИК!A:P,9,FALSE())</f>
        <v xml:space="preserve"> -50…100</v>
      </c>
      <c r="H42" s="212" t="str">
        <f>VLOOKUP(B42,ИСХОДНИК!A:K,11,FALSE())</f>
        <v>Вход - резьба G 1 1/4"
Выход - резьба G 1 1/2"</v>
      </c>
      <c r="I42" s="105" t="str">
        <f>VLOOKUP(B42,ИСХОДНИК!A:P,15,FALSE())</f>
        <v>U6 PL40R</v>
      </c>
      <c r="J42" s="139">
        <f>VLOOKUP(B42,ИСХОДНИК!A:P,13,FALSE())</f>
        <v>396000</v>
      </c>
      <c r="K42" s="139">
        <f>VLOOKUP(B42,ИСХОДНИК!A:P,14,FALSE())</f>
        <v>459359.99999999994</v>
      </c>
      <c r="L42" s="198" t="str">
        <f>IF(VLOOKUP(B42,ИСХОДНИК!A:R,18,FALSE())=1,ИСХОДНИК!$T$2,IF(VLOOKUP(B42,ИСХОДНИК!A:R,18,FALSE())=2,ИСХОДНИК!$T$5,IF(VLOOKUP(B42,ИСХОДНИК!A:R,18,FALSE())=3,ИСХОДНИК!$T$6)))</f>
        <v>○</v>
      </c>
    </row>
    <row r="43" spans="2:12" ht="29.25" customHeight="1">
      <c r="B43" s="97" t="s">
        <v>742</v>
      </c>
      <c r="C43" s="196" t="str">
        <f>VLOOKUP(B43,ИСХОДНИК!A:P,5,FALSE())</f>
        <v>SFV-R 25</v>
      </c>
      <c r="D43" s="137">
        <f>VLOOKUP(B43,ИСХОДНИК!A:P,6,FALSE())</f>
        <v>14</v>
      </c>
      <c r="E43" s="182">
        <f>VLOOKUP(B43,ИСХОДНИК!A:P,7,FALSE())</f>
        <v>25</v>
      </c>
      <c r="F43" s="137" t="str">
        <f>VLOOKUP(B43,ИСХОДНИК!A:P,10,FALSE())</f>
        <v>R717, R744 и фреоны</v>
      </c>
      <c r="G43" s="137" t="str">
        <f>VLOOKUP(B43,ИСХОДНИК!A:P,9,FALSE())</f>
        <v xml:space="preserve"> -50…100</v>
      </c>
      <c r="H43" s="212" t="str">
        <f>VLOOKUP(B43,ИСХОДНИК!A:K,11,FALSE())</f>
        <v>Вход - резьба G 1 1/4"
Выход - резьба G 1 1/2"</v>
      </c>
      <c r="I43" s="105" t="str">
        <f>VLOOKUP(B43,ИСХОДНИК!A:P,15,FALSE())</f>
        <v>U6 PL40R</v>
      </c>
      <c r="J43" s="139">
        <f>VLOOKUP(B43,ИСХОДНИК!A:P,13,FALSE())</f>
        <v>396000</v>
      </c>
      <c r="K43" s="139">
        <f>VLOOKUP(B43,ИСХОДНИК!A:P,14,FALSE())</f>
        <v>459359.99999999994</v>
      </c>
      <c r="L43" s="198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2" ht="29.25" customHeight="1">
      <c r="B44" s="97" t="s">
        <v>743</v>
      </c>
      <c r="C44" s="196" t="str">
        <f>VLOOKUP(B44,ИСХОДНИК!A:P,5,FALSE())</f>
        <v>SFV-R 25</v>
      </c>
      <c r="D44" s="137">
        <f>VLOOKUP(B44,ИСХОДНИК!A:P,6,FALSE())</f>
        <v>15</v>
      </c>
      <c r="E44" s="182">
        <f>VLOOKUP(B44,ИСХОДНИК!A:P,7,FALSE())</f>
        <v>25</v>
      </c>
      <c r="F44" s="137" t="str">
        <f>VLOOKUP(B44,ИСХОДНИК!A:P,10,FALSE())</f>
        <v>R717, R744 и фреоны</v>
      </c>
      <c r="G44" s="137" t="str">
        <f>VLOOKUP(B44,ИСХОДНИК!A:P,9,FALSE())</f>
        <v xml:space="preserve"> -50…100</v>
      </c>
      <c r="H44" s="212" t="str">
        <f>VLOOKUP(B44,ИСХОДНИК!A:K,11,FALSE())</f>
        <v>Вход - резьба G 1 1/4"
Выход - резьба G 1 1/2"</v>
      </c>
      <c r="I44" s="105" t="str">
        <f>VLOOKUP(B44,ИСХОДНИК!A:P,15,FALSE())</f>
        <v>U6 PL40R</v>
      </c>
      <c r="J44" s="139">
        <f>VLOOKUP(B44,ИСХОДНИК!A:P,13,FALSE())</f>
        <v>396000</v>
      </c>
      <c r="K44" s="139">
        <f>VLOOKUP(B44,ИСХОДНИК!A:P,14,FALSE())</f>
        <v>459359.99999999994</v>
      </c>
      <c r="L44" s="198" t="str">
        <f>IF(VLOOKUP(B44,ИСХОДНИК!A:R,18,FALSE())=1,ИСХОДНИК!$T$2,IF(VLOOKUP(B44,ИСХОДНИК!A:R,18,FALSE())=2,ИСХОДНИК!$T$5,IF(VLOOKUP(B44,ИСХОДНИК!A:R,18,FALSE())=3,ИСХОДНИК!$T$6)))</f>
        <v>○</v>
      </c>
    </row>
    <row r="45" spans="2:12" ht="29.25" customHeight="1">
      <c r="B45" s="97" t="s">
        <v>744</v>
      </c>
      <c r="C45" s="196" t="str">
        <f>VLOOKUP(B45,ИСХОДНИК!A:P,5,FALSE())</f>
        <v>SFV-R 25</v>
      </c>
      <c r="D45" s="137">
        <f>VLOOKUP(B45,ИСХОДНИК!A:P,6,FALSE())</f>
        <v>16</v>
      </c>
      <c r="E45" s="182">
        <f>VLOOKUP(B45,ИСХОДНИК!A:P,7,FALSE())</f>
        <v>25</v>
      </c>
      <c r="F45" s="137" t="str">
        <f>VLOOKUP(B45,ИСХОДНИК!A:P,10,FALSE())</f>
        <v>R717, R744 и фреоны</v>
      </c>
      <c r="G45" s="137" t="str">
        <f>VLOOKUP(B45,ИСХОДНИК!A:P,9,FALSE())</f>
        <v xml:space="preserve"> -50…100</v>
      </c>
      <c r="H45" s="212" t="str">
        <f>VLOOKUP(B45,ИСХОДНИК!A:K,11,FALSE())</f>
        <v>Вход - резьба G 1 1/4"
Выход - резьба G 1 1/2"</v>
      </c>
      <c r="I45" s="105" t="str">
        <f>VLOOKUP(B45,ИСХОДНИК!A:P,15,FALSE())</f>
        <v>U6 PL40R</v>
      </c>
      <c r="J45" s="139">
        <f>VLOOKUP(B45,ИСХОДНИК!A:P,13,FALSE())</f>
        <v>396000</v>
      </c>
      <c r="K45" s="139">
        <f>VLOOKUP(B45,ИСХОДНИК!A:P,14,FALSE())</f>
        <v>459359.99999999994</v>
      </c>
      <c r="L45" s="199" t="str">
        <f>IF(VLOOKUP(B45,ИСХОДНИК!A:R,18,FALSE())=1,ИСХОДНИК!$T$2,IF(VLOOKUP(B45,ИСХОДНИК!A:R,18,FALSE())=2,ИСХОДНИК!$T$5,IF(VLOOKUP(B45,ИСХОДНИК!A:R,18,FALSE())=3,ИСХОДНИК!$T$6)))</f>
        <v>◑</v>
      </c>
    </row>
    <row r="46" spans="2:12" ht="29.25" customHeight="1">
      <c r="B46" s="97" t="s">
        <v>745</v>
      </c>
      <c r="C46" s="196" t="str">
        <f>VLOOKUP(B46,ИСХОДНИК!A:P,5,FALSE())</f>
        <v>SFV-R 25</v>
      </c>
      <c r="D46" s="137">
        <f>VLOOKUP(B46,ИСХОДНИК!A:P,6,FALSE())</f>
        <v>17</v>
      </c>
      <c r="E46" s="182">
        <f>VLOOKUP(B46,ИСХОДНИК!A:P,7,FALSE())</f>
        <v>25</v>
      </c>
      <c r="F46" s="137" t="str">
        <f>VLOOKUP(B46,ИСХОДНИК!A:P,10,FALSE())</f>
        <v>R717, R744 и фреоны</v>
      </c>
      <c r="G46" s="137" t="str">
        <f>VLOOKUP(B46,ИСХОДНИК!A:P,9,FALSE())</f>
        <v xml:space="preserve"> -50…100</v>
      </c>
      <c r="H46" s="212" t="str">
        <f>VLOOKUP(B46,ИСХОДНИК!A:K,11,FALSE())</f>
        <v>Вход - резьба G 1 1/4"
Выход - резьба G 1 1/2"</v>
      </c>
      <c r="I46" s="105" t="str">
        <f>VLOOKUP(B46,ИСХОДНИК!A:P,15,FALSE())</f>
        <v>U6 PL40R</v>
      </c>
      <c r="J46" s="139">
        <f>VLOOKUP(B46,ИСХОДНИК!A:P,13,FALSE())</f>
        <v>396000</v>
      </c>
      <c r="K46" s="139">
        <f>VLOOKUP(B46,ИСХОДНИК!A:P,14,FALSE())</f>
        <v>459359.99999999994</v>
      </c>
      <c r="L46" s="198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2" ht="29.25" customHeight="1">
      <c r="B47" s="97" t="s">
        <v>746</v>
      </c>
      <c r="C47" s="196" t="str">
        <f>VLOOKUP(B47,ИСХОДНИК!A:P,5,FALSE())</f>
        <v>SFV-R 25</v>
      </c>
      <c r="D47" s="137">
        <f>VLOOKUP(B47,ИСХОДНИК!A:P,6,FALSE())</f>
        <v>18</v>
      </c>
      <c r="E47" s="182">
        <f>VLOOKUP(B47,ИСХОДНИК!A:P,7,FALSE())</f>
        <v>25</v>
      </c>
      <c r="F47" s="137" t="str">
        <f>VLOOKUP(B47,ИСХОДНИК!A:P,10,FALSE())</f>
        <v>R717, R744 и фреоны</v>
      </c>
      <c r="G47" s="137" t="str">
        <f>VLOOKUP(B47,ИСХОДНИК!A:P,9,FALSE())</f>
        <v xml:space="preserve"> -50…100</v>
      </c>
      <c r="H47" s="212" t="str">
        <f>VLOOKUP(B47,ИСХОДНИК!A:K,11,FALSE())</f>
        <v>Вход - резьба G 1 1/4"
Выход - резьба G 1 1/2"</v>
      </c>
      <c r="I47" s="105" t="str">
        <f>VLOOKUP(B47,ИСХОДНИК!A:P,15,FALSE())</f>
        <v>U6 PL40R</v>
      </c>
      <c r="J47" s="139">
        <f>VLOOKUP(B47,ИСХОДНИК!A:P,13,FALSE())</f>
        <v>396000</v>
      </c>
      <c r="K47" s="139">
        <f>VLOOKUP(B47,ИСХОДНИК!A:P,14,FALSE())</f>
        <v>459359.99999999994</v>
      </c>
      <c r="L47" s="384" t="str">
        <f>IF(VLOOKUP(B47,ИСХОДНИК!A:R,18,FALSE())=1,ИСХОДНИК!$T$2,IF(VLOOKUP(B47,ИСХОДНИК!A:R,18,FALSE())=2,ИСХОДНИК!$T$5,IF(VLOOKUP(B47,ИСХОДНИК!A:R,18,FALSE())=3,ИСХОДНИК!$T$6)))</f>
        <v>◑</v>
      </c>
    </row>
    <row r="48" spans="2:12" ht="29.25" customHeight="1">
      <c r="B48" s="97" t="s">
        <v>747</v>
      </c>
      <c r="C48" s="196" t="str">
        <f>VLOOKUP(B48,ИСХОДНИК!A:P,5,FALSE())</f>
        <v>SFV-R 25</v>
      </c>
      <c r="D48" s="137">
        <f>VLOOKUP(B48,ИСХОДНИК!A:P,6,FALSE())</f>
        <v>19</v>
      </c>
      <c r="E48" s="182">
        <f>VLOOKUP(B48,ИСХОДНИК!A:P,7,FALSE())</f>
        <v>25</v>
      </c>
      <c r="F48" s="137" t="str">
        <f>VLOOKUP(B48,ИСХОДНИК!A:P,10,FALSE())</f>
        <v>R717, R744 и фреоны</v>
      </c>
      <c r="G48" s="137" t="str">
        <f>VLOOKUP(B48,ИСХОДНИК!A:P,9,FALSE())</f>
        <v xml:space="preserve"> -50…100</v>
      </c>
      <c r="H48" s="212" t="str">
        <f>VLOOKUP(B48,ИСХОДНИК!A:K,11,FALSE())</f>
        <v>Вход - резьба G 1 1/4"
Выход - резьба G 1 1/2"</v>
      </c>
      <c r="I48" s="105" t="str">
        <f>VLOOKUP(B48,ИСХОДНИК!A:P,15,FALSE())</f>
        <v>U6 PL40R</v>
      </c>
      <c r="J48" s="139">
        <f>VLOOKUP(B48,ИСХОДНИК!A:P,13,FALSE())</f>
        <v>396000</v>
      </c>
      <c r="K48" s="139">
        <f>VLOOKUP(B48,ИСХОДНИК!A:P,14,FALSE())</f>
        <v>459359.99999999994</v>
      </c>
      <c r="L48" s="198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2" ht="29.25" customHeight="1">
      <c r="B49" s="97" t="s">
        <v>748</v>
      </c>
      <c r="C49" s="196" t="str">
        <f>VLOOKUP(B49,ИСХОДНИК!A:P,5,FALSE())</f>
        <v>SFV-R 25</v>
      </c>
      <c r="D49" s="137">
        <f>VLOOKUP(B49,ИСХОДНИК!A:P,6,FALSE())</f>
        <v>20</v>
      </c>
      <c r="E49" s="182">
        <f>VLOOKUP(B49,ИСХОДНИК!A:P,7,FALSE())</f>
        <v>25</v>
      </c>
      <c r="F49" s="137" t="str">
        <f>VLOOKUP(B49,ИСХОДНИК!A:P,10,FALSE())</f>
        <v>R717, R744 и фреоны</v>
      </c>
      <c r="G49" s="137" t="str">
        <f>VLOOKUP(B49,ИСХОДНИК!A:P,9,FALSE())</f>
        <v xml:space="preserve"> -50…100</v>
      </c>
      <c r="H49" s="212" t="str">
        <f>VLOOKUP(B49,ИСХОДНИК!A:K,11,FALSE())</f>
        <v>Вход - резьба G 1 1/4"
Выход - резьба G 1 1/2"</v>
      </c>
      <c r="I49" s="105" t="str">
        <f>VLOOKUP(B49,ИСХОДНИК!A:P,15,FALSE())</f>
        <v>U6 PL40R</v>
      </c>
      <c r="J49" s="139">
        <f>VLOOKUP(B49,ИСХОДНИК!A:P,13,FALSE())</f>
        <v>396000</v>
      </c>
      <c r="K49" s="139">
        <f>VLOOKUP(B49,ИСХОДНИК!A:P,14,FALSE())</f>
        <v>459359.99999999994</v>
      </c>
      <c r="L49" s="198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2" ht="29.25" customHeight="1">
      <c r="B50" s="97" t="s">
        <v>749</v>
      </c>
      <c r="C50" s="196" t="str">
        <f>VLOOKUP(B50,ИСХОДНИК!A:P,5,FALSE())</f>
        <v>SFV-R 25</v>
      </c>
      <c r="D50" s="137">
        <f>VLOOKUP(B50,ИСХОДНИК!A:P,6,FALSE())</f>
        <v>21</v>
      </c>
      <c r="E50" s="182">
        <f>VLOOKUP(B50,ИСХОДНИК!A:P,7,FALSE())</f>
        <v>25</v>
      </c>
      <c r="F50" s="137" t="str">
        <f>VLOOKUP(B50,ИСХОДНИК!A:P,10,FALSE())</f>
        <v>R717, R744 и фреоны</v>
      </c>
      <c r="G50" s="137" t="str">
        <f>VLOOKUP(B50,ИСХОДНИК!A:P,9,FALSE())</f>
        <v xml:space="preserve"> -50…100</v>
      </c>
      <c r="H50" s="212" t="str">
        <f>VLOOKUP(B50,ИСХОДНИК!A:K,11,FALSE())</f>
        <v>Вход - резьба G 1 1/4"
Выход - резьба G 1 1/2"</v>
      </c>
      <c r="I50" s="105" t="str">
        <f>VLOOKUP(B50,ИСХОДНИК!A:P,15,FALSE())</f>
        <v>U6 PL40R</v>
      </c>
      <c r="J50" s="139">
        <f>VLOOKUP(B50,ИСХОДНИК!A:P,13,FALSE())</f>
        <v>396000</v>
      </c>
      <c r="K50" s="139">
        <f>VLOOKUP(B50,ИСХОДНИК!A:P,14,FALSE())</f>
        <v>459359.99999999994</v>
      </c>
      <c r="L50" s="198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2" ht="29.25" customHeight="1">
      <c r="B51" s="97" t="s">
        <v>750</v>
      </c>
      <c r="C51" s="196" t="str">
        <f>VLOOKUP(B51,ИСХОДНИК!A:P,5,FALSE())</f>
        <v>SFV-R 25</v>
      </c>
      <c r="D51" s="137">
        <f>VLOOKUP(B51,ИСХОДНИК!A:P,6,FALSE())</f>
        <v>22</v>
      </c>
      <c r="E51" s="182">
        <f>VLOOKUP(B51,ИСХОДНИК!A:P,7,FALSE())</f>
        <v>25</v>
      </c>
      <c r="F51" s="137" t="str">
        <f>VLOOKUP(B51,ИСХОДНИК!A:P,10,FALSE())</f>
        <v>R717, R744 и фреоны</v>
      </c>
      <c r="G51" s="137" t="str">
        <f>VLOOKUP(B51,ИСХОДНИК!A:P,9,FALSE())</f>
        <v xml:space="preserve"> -50…100</v>
      </c>
      <c r="H51" s="212" t="str">
        <f>VLOOKUP(B51,ИСХОДНИК!A:K,11,FALSE())</f>
        <v>Вход - резьба G 1 1/4"
Выход - резьба G 1 1/2"</v>
      </c>
      <c r="I51" s="105" t="str">
        <f>VLOOKUP(B51,ИСХОДНИК!A:P,15,FALSE())</f>
        <v>U6 PL40R</v>
      </c>
      <c r="J51" s="139">
        <f>VLOOKUP(B51,ИСХОДНИК!A:P,13,FALSE())</f>
        <v>396000</v>
      </c>
      <c r="K51" s="139">
        <f>VLOOKUP(B51,ИСХОДНИК!A:P,14,FALSE())</f>
        <v>459359.99999999994</v>
      </c>
      <c r="L51" s="198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2" ht="29.25" customHeight="1">
      <c r="B52" s="97" t="s">
        <v>751</v>
      </c>
      <c r="C52" s="196" t="str">
        <f>VLOOKUP(B52,ИСХОДНИК!A:P,5,FALSE())</f>
        <v>SFV-R 25</v>
      </c>
      <c r="D52" s="137">
        <f>VLOOKUP(B52,ИСХОДНИК!A:P,6,FALSE())</f>
        <v>23</v>
      </c>
      <c r="E52" s="182">
        <f>VLOOKUP(B52,ИСХОДНИК!A:P,7,FALSE())</f>
        <v>25</v>
      </c>
      <c r="F52" s="137" t="str">
        <f>VLOOKUP(B52,ИСХОДНИК!A:P,10,FALSE())</f>
        <v>R717, R744 и фреоны</v>
      </c>
      <c r="G52" s="137" t="str">
        <f>VLOOKUP(B52,ИСХОДНИК!A:P,9,FALSE())</f>
        <v xml:space="preserve"> -50…100</v>
      </c>
      <c r="H52" s="212" t="str">
        <f>VLOOKUP(B52,ИСХОДНИК!A:K,11,FALSE())</f>
        <v>Вход - резьба G 1 1/4"
Выход - резьба G 1 1/2"</v>
      </c>
      <c r="I52" s="105" t="str">
        <f>VLOOKUP(B52,ИСХОДНИК!A:P,15,FALSE())</f>
        <v>U6 PL40R</v>
      </c>
      <c r="J52" s="139">
        <f>VLOOKUP(B52,ИСХОДНИК!A:P,13,FALSE())</f>
        <v>396000</v>
      </c>
      <c r="K52" s="139">
        <f>VLOOKUP(B52,ИСХОДНИК!A:P,14,FALSE())</f>
        <v>459359.99999999994</v>
      </c>
      <c r="L52" s="198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2:12" ht="29.25" customHeight="1">
      <c r="B53" s="97" t="s">
        <v>752</v>
      </c>
      <c r="C53" s="196" t="str">
        <f>VLOOKUP(B53,ИСХОДНИК!A:P,5,FALSE())</f>
        <v>SFV-R 25</v>
      </c>
      <c r="D53" s="137">
        <f>VLOOKUP(B53,ИСХОДНИК!A:P,6,FALSE())</f>
        <v>24</v>
      </c>
      <c r="E53" s="182">
        <f>VLOOKUP(B53,ИСХОДНИК!A:P,7,FALSE())</f>
        <v>25</v>
      </c>
      <c r="F53" s="137" t="str">
        <f>VLOOKUP(B53,ИСХОДНИК!A:P,10,FALSE())</f>
        <v>R717, R744 и фреоны</v>
      </c>
      <c r="G53" s="137" t="str">
        <f>VLOOKUP(B53,ИСХОДНИК!A:P,9,FALSE())</f>
        <v xml:space="preserve"> -50…100</v>
      </c>
      <c r="H53" s="212" t="str">
        <f>VLOOKUP(B53,ИСХОДНИК!A:K,11,FALSE())</f>
        <v>Вход - резьба G 1 1/4"
Выход - резьба G 1 1/2"</v>
      </c>
      <c r="I53" s="105" t="str">
        <f>VLOOKUP(B53,ИСХОДНИК!A:P,15,FALSE())</f>
        <v>U6 PL40R</v>
      </c>
      <c r="J53" s="139">
        <f>VLOOKUP(B53,ИСХОДНИК!A:P,13,FALSE())</f>
        <v>396000</v>
      </c>
      <c r="K53" s="139">
        <f>VLOOKUP(B53,ИСХОДНИК!A:P,14,FALSE())</f>
        <v>459359.99999999994</v>
      </c>
      <c r="L53" s="198" t="str">
        <f>IF(VLOOKUP(B53,ИСХОДНИК!A:R,18,FALSE())=1,ИСХОДНИК!$T$2,IF(VLOOKUP(B53,ИСХОДНИК!A:R,18,FALSE())=2,ИСХОДНИК!$T$5,IF(VLOOKUP(B53,ИСХОДНИК!A:R,18,FALSE())=3,ИСХОДНИК!$T$6)))</f>
        <v>○</v>
      </c>
    </row>
    <row r="54" spans="2:12" ht="29.25" customHeight="1">
      <c r="B54" s="97" t="s">
        <v>753</v>
      </c>
      <c r="C54" s="196" t="str">
        <f>VLOOKUP(B54,ИСХОДНИК!A:P,5,FALSE())</f>
        <v>SFV-R 25</v>
      </c>
      <c r="D54" s="137">
        <f>VLOOKUP(B54,ИСХОДНИК!A:P,6,FALSE())</f>
        <v>25</v>
      </c>
      <c r="E54" s="182">
        <f>VLOOKUP(B54,ИСХОДНИК!A:P,7,FALSE())</f>
        <v>25</v>
      </c>
      <c r="F54" s="137" t="str">
        <f>VLOOKUP(B54,ИСХОДНИК!A:P,10,FALSE())</f>
        <v>R717, R744 и фреоны</v>
      </c>
      <c r="G54" s="137" t="str">
        <f>VLOOKUP(B54,ИСХОДНИК!A:P,9,FALSE())</f>
        <v xml:space="preserve"> -50…100</v>
      </c>
      <c r="H54" s="212" t="str">
        <f>VLOOKUP(B54,ИСХОДНИК!A:K,11,FALSE())</f>
        <v>Вход - резьба G 1 1/4"
Выход - резьба G 1 1/2"</v>
      </c>
      <c r="I54" s="105" t="str">
        <f>VLOOKUP(B54,ИСХОДНИК!A:P,15,FALSE())</f>
        <v>U6 PL40R</v>
      </c>
      <c r="J54" s="139">
        <f>VLOOKUP(B54,ИСХОДНИК!A:P,13,FALSE())</f>
        <v>396000</v>
      </c>
      <c r="K54" s="139">
        <f>VLOOKUP(B54,ИСХОДНИК!A:P,14,FALSE())</f>
        <v>459359.99999999994</v>
      </c>
      <c r="L54" s="198" t="str">
        <f>IF(VLOOKUP(B54,ИСХОДНИК!A:R,18,FALSE())=1,ИСХОДНИК!$T$2,IF(VLOOKUP(B54,ИСХОДНИК!A:R,18,FALSE())=2,ИСХОДНИК!$T$5,IF(VLOOKUP(B54,ИСХОДНИК!A:R,18,FALSE())=3,ИСХОДНИК!$T$6)))</f>
        <v>○</v>
      </c>
    </row>
    <row r="55" spans="2:12" ht="29.25" customHeight="1">
      <c r="B55" s="97" t="s">
        <v>754</v>
      </c>
      <c r="C55" s="196" t="str">
        <f>VLOOKUP(B55,ИСХОДНИК!A:P,5,FALSE())</f>
        <v>SFV-R 25</v>
      </c>
      <c r="D55" s="137">
        <f>VLOOKUP(B55,ИСХОДНИК!A:P,6,FALSE())</f>
        <v>26</v>
      </c>
      <c r="E55" s="182">
        <f>VLOOKUP(B55,ИСХОДНИК!A:P,7,FALSE())</f>
        <v>25</v>
      </c>
      <c r="F55" s="137" t="str">
        <f>VLOOKUP(B55,ИСХОДНИК!A:P,10,FALSE())</f>
        <v>R717, R744 и фреоны</v>
      </c>
      <c r="G55" s="137" t="str">
        <f>VLOOKUP(B55,ИСХОДНИК!A:P,9,FALSE())</f>
        <v xml:space="preserve"> -50…100</v>
      </c>
      <c r="H55" s="212" t="str">
        <f>VLOOKUP(B55,ИСХОДНИК!A:K,11,FALSE())</f>
        <v>Вход - резьба G 1 1/4"
Выход - резьба G 1 1/2"</v>
      </c>
      <c r="I55" s="105" t="str">
        <f>VLOOKUP(B55,ИСХОДНИК!A:P,15,FALSE())</f>
        <v>U6 PL40R</v>
      </c>
      <c r="J55" s="139">
        <f>VLOOKUP(B55,ИСХОДНИК!A:P,13,FALSE())</f>
        <v>396000</v>
      </c>
      <c r="K55" s="139">
        <f>VLOOKUP(B55,ИСХОДНИК!A:P,14,FALSE())</f>
        <v>459359.99999999994</v>
      </c>
      <c r="L55" s="198" t="str">
        <f>IF(VLOOKUP(B55,ИСХОДНИК!A:R,18,FALSE())=1,ИСХОДНИК!$T$2,IF(VLOOKUP(B55,ИСХОДНИК!A:R,18,FALSE())=2,ИСХОДНИК!$T$5,IF(VLOOKUP(B55,ИСХОДНИК!A:R,18,FALSE())=3,ИСХОДНИК!$T$6)))</f>
        <v>○</v>
      </c>
    </row>
    <row r="56" spans="2:12" ht="29.25" customHeight="1">
      <c r="B56" s="97" t="s">
        <v>755</v>
      </c>
      <c r="C56" s="196" t="str">
        <f>VLOOKUP(B56,ИСХОДНИК!A:P,5,FALSE())</f>
        <v>SFV-R 25</v>
      </c>
      <c r="D56" s="137">
        <f>VLOOKUP(B56,ИСХОДНИК!A:P,6,FALSE())</f>
        <v>27</v>
      </c>
      <c r="E56" s="182">
        <f>VLOOKUP(B56,ИСХОДНИК!A:P,7,FALSE())</f>
        <v>25</v>
      </c>
      <c r="F56" s="137" t="str">
        <f>VLOOKUP(B56,ИСХОДНИК!A:P,10,FALSE())</f>
        <v>R717, R744 и фреоны</v>
      </c>
      <c r="G56" s="137" t="str">
        <f>VLOOKUP(B56,ИСХОДНИК!A:P,9,FALSE())</f>
        <v xml:space="preserve"> -50…100</v>
      </c>
      <c r="H56" s="212" t="str">
        <f>VLOOKUP(B56,ИСХОДНИК!A:K,11,FALSE())</f>
        <v>Вход - резьба G 1 1/4"
Выход - резьба G 1 1/2"</v>
      </c>
      <c r="I56" s="105" t="str">
        <f>VLOOKUP(B56,ИСХОДНИК!A:P,15,FALSE())</f>
        <v>U6 PL40R</v>
      </c>
      <c r="J56" s="139">
        <f>VLOOKUP(B56,ИСХОДНИК!A:P,13,FALSE())</f>
        <v>396000</v>
      </c>
      <c r="K56" s="139">
        <f>VLOOKUP(B56,ИСХОДНИК!A:P,14,FALSE())</f>
        <v>459359.99999999994</v>
      </c>
      <c r="L56" s="198" t="str">
        <f>IF(VLOOKUP(B56,ИСХОДНИК!A:R,18,FALSE())=1,ИСХОДНИК!$T$2,IF(VLOOKUP(B56,ИСХОДНИК!A:R,18,FALSE())=2,ИСХОДНИК!$T$5,IF(VLOOKUP(B56,ИСХОДНИК!A:R,18,FALSE())=3,ИСХОДНИК!$T$6)))</f>
        <v>○</v>
      </c>
    </row>
    <row r="57" spans="2:12" ht="29.25" customHeight="1">
      <c r="B57" s="97" t="s">
        <v>756</v>
      </c>
      <c r="C57" s="196" t="str">
        <f>VLOOKUP(B57,ИСХОДНИК!A:P,5,FALSE())</f>
        <v>SFV-R 25</v>
      </c>
      <c r="D57" s="137">
        <f>VLOOKUP(B57,ИСХОДНИК!A:P,6,FALSE())</f>
        <v>28</v>
      </c>
      <c r="E57" s="182">
        <f>VLOOKUP(B57,ИСХОДНИК!A:P,7,FALSE())</f>
        <v>25</v>
      </c>
      <c r="F57" s="137" t="str">
        <f>VLOOKUP(B57,ИСХОДНИК!A:P,10,FALSE())</f>
        <v>R717, R744 и фреоны</v>
      </c>
      <c r="G57" s="137" t="str">
        <f>VLOOKUP(B57,ИСХОДНИК!A:P,9,FALSE())</f>
        <v xml:space="preserve"> -50…100</v>
      </c>
      <c r="H57" s="212" t="str">
        <f>VLOOKUP(B57,ИСХОДНИК!A:K,11,FALSE())</f>
        <v>Вход - резьба G 1 1/4"
Выход - резьба G 1 1/2"</v>
      </c>
      <c r="I57" s="105" t="str">
        <f>VLOOKUP(B57,ИСХОДНИК!A:P,15,FALSE())</f>
        <v>U6 PL40R</v>
      </c>
      <c r="J57" s="139">
        <f>VLOOKUP(B57,ИСХОДНИК!A:P,13,FALSE())</f>
        <v>396000</v>
      </c>
      <c r="K57" s="139">
        <f>VLOOKUP(B57,ИСХОДНИК!A:P,14,FALSE())</f>
        <v>459359.99999999994</v>
      </c>
      <c r="L57" s="198" t="str">
        <f>IF(VLOOKUP(B57,ИСХОДНИК!A:R,18,FALSE())=1,ИСХОДНИК!$T$2,IF(VLOOKUP(B57,ИСХОДНИК!A:R,18,FALSE())=2,ИСХОДНИК!$T$5,IF(VLOOKUP(B57,ИСХОДНИК!A:R,18,FALSE())=3,ИСХОДНИК!$T$6)))</f>
        <v>○</v>
      </c>
    </row>
    <row r="58" spans="2:12" ht="29.25" customHeight="1">
      <c r="B58" s="97" t="s">
        <v>757</v>
      </c>
      <c r="C58" s="196" t="str">
        <f>VLOOKUP(B58,ИСХОДНИК!A:P,5,FALSE())</f>
        <v>SFV-R 25</v>
      </c>
      <c r="D58" s="137">
        <f>VLOOKUP(B58,ИСХОДНИК!A:P,6,FALSE())</f>
        <v>29</v>
      </c>
      <c r="E58" s="182">
        <f>VLOOKUP(B58,ИСХОДНИК!A:P,7,FALSE())</f>
        <v>25</v>
      </c>
      <c r="F58" s="137" t="str">
        <f>VLOOKUP(B58,ИСХОДНИК!A:P,10,FALSE())</f>
        <v>R717, R744 и фреоны</v>
      </c>
      <c r="G58" s="137" t="str">
        <f>VLOOKUP(B58,ИСХОДНИК!A:P,9,FALSE())</f>
        <v xml:space="preserve"> -50…100</v>
      </c>
      <c r="H58" s="212" t="str">
        <f>VLOOKUP(B58,ИСХОДНИК!A:K,11,FALSE())</f>
        <v>Вход - резьба G 1 1/4"
Выход - резьба G 1 1/2"</v>
      </c>
      <c r="I58" s="105" t="str">
        <f>VLOOKUP(B58,ИСХОДНИК!A:P,15,FALSE())</f>
        <v>U6 PL40R</v>
      </c>
      <c r="J58" s="139">
        <f>VLOOKUP(B58,ИСХОДНИК!A:P,13,FALSE())</f>
        <v>396000</v>
      </c>
      <c r="K58" s="139">
        <f>VLOOKUP(B58,ИСХОДНИК!A:P,14,FALSE())</f>
        <v>459359.99999999994</v>
      </c>
      <c r="L58" s="198" t="str">
        <f>IF(VLOOKUP(B58,ИСХОДНИК!A:R,18,FALSE())=1,ИСХОДНИК!$T$2,IF(VLOOKUP(B58,ИСХОДНИК!A:R,18,FALSE())=2,ИСХОДНИК!$T$5,IF(VLOOKUP(B58,ИСХОДНИК!A:R,18,FALSE())=3,ИСХОДНИК!$T$6)))</f>
        <v>○</v>
      </c>
    </row>
    <row r="59" spans="2:12" ht="29.25" customHeight="1">
      <c r="B59" s="97" t="s">
        <v>758</v>
      </c>
      <c r="C59" s="196" t="str">
        <f>VLOOKUP(B59,ИСХОДНИК!A:P,5,FALSE())</f>
        <v>SFV-R 25</v>
      </c>
      <c r="D59" s="137">
        <f>VLOOKUP(B59,ИСХОДНИК!A:P,6,FALSE())</f>
        <v>30</v>
      </c>
      <c r="E59" s="182">
        <f>VLOOKUP(B59,ИСХОДНИК!A:P,7,FALSE())</f>
        <v>25</v>
      </c>
      <c r="F59" s="137" t="str">
        <f>VLOOKUP(B59,ИСХОДНИК!A:P,10,FALSE())</f>
        <v>R717, R744 и фреоны</v>
      </c>
      <c r="G59" s="137" t="str">
        <f>VLOOKUP(B59,ИСХОДНИК!A:P,9,FALSE())</f>
        <v xml:space="preserve"> -50…100</v>
      </c>
      <c r="H59" s="212" t="str">
        <f>VLOOKUP(B59,ИСХОДНИК!A:K,11,FALSE())</f>
        <v>Вход - резьба G 1 1/4"
Выход - резьба G 1 1/2"</v>
      </c>
      <c r="I59" s="105" t="str">
        <f>VLOOKUP(B59,ИСХОДНИК!A:P,15,FALSE())</f>
        <v>U6 PL40R</v>
      </c>
      <c r="J59" s="139">
        <f>VLOOKUP(B59,ИСХОДНИК!A:P,13,FALSE())</f>
        <v>396000</v>
      </c>
      <c r="K59" s="139">
        <f>VLOOKUP(B59,ИСХОДНИК!A:P,14,FALSE())</f>
        <v>459359.99999999994</v>
      </c>
      <c r="L59" s="198" t="str">
        <f>IF(VLOOKUP(B59,ИСХОДНИК!A:R,18,FALSE())=1,ИСХОДНИК!$T$2,IF(VLOOKUP(B59,ИСХОДНИК!A:R,18,FALSE())=2,ИСХОДНИК!$T$5,IF(VLOOKUP(B59,ИСХОДНИК!A:R,18,FALSE())=3,ИСХОДНИК!$T$6)))</f>
        <v>○</v>
      </c>
    </row>
    <row r="60" spans="2:12" ht="29.25" customHeight="1">
      <c r="B60" s="97" t="s">
        <v>759</v>
      </c>
      <c r="C60" s="196" t="str">
        <f>VLOOKUP(B60,ИСХОДНИК!A:P,5,FALSE())</f>
        <v>SFV-R 25</v>
      </c>
      <c r="D60" s="137">
        <f>VLOOKUP(B60,ИСХОДНИК!A:P,6,FALSE())</f>
        <v>31</v>
      </c>
      <c r="E60" s="182">
        <f>VLOOKUP(B60,ИСХОДНИК!A:P,7,FALSE())</f>
        <v>25</v>
      </c>
      <c r="F60" s="137" t="str">
        <f>VLOOKUP(B60,ИСХОДНИК!A:P,10,FALSE())</f>
        <v>R717, R744 и фреоны</v>
      </c>
      <c r="G60" s="137" t="str">
        <f>VLOOKUP(B60,ИСХОДНИК!A:P,9,FALSE())</f>
        <v xml:space="preserve"> -50…100</v>
      </c>
      <c r="H60" s="212" t="str">
        <f>VLOOKUP(B60,ИСХОДНИК!A:K,11,FALSE())</f>
        <v>Вход - резьба G 1 1/4"
Выход - резьба G 1 1/2"</v>
      </c>
      <c r="I60" s="105" t="str">
        <f>VLOOKUP(B60,ИСХОДНИК!A:P,15,FALSE())</f>
        <v>U6 PL40R</v>
      </c>
      <c r="J60" s="139">
        <f>VLOOKUP(B60,ИСХОДНИК!A:P,13,FALSE())</f>
        <v>396000</v>
      </c>
      <c r="K60" s="139">
        <f>VLOOKUP(B60,ИСХОДНИК!A:P,14,FALSE())</f>
        <v>459359.99999999994</v>
      </c>
      <c r="L60" s="198" t="str">
        <f>IF(VLOOKUP(B60,ИСХОДНИК!A:R,18,FALSE())=1,ИСХОДНИК!$T$2,IF(VLOOKUP(B60,ИСХОДНИК!A:R,18,FALSE())=2,ИСХОДНИК!$T$5,IF(VLOOKUP(B60,ИСХОДНИК!A:R,18,FALSE())=3,ИСХОДНИК!$T$6)))</f>
        <v>○</v>
      </c>
    </row>
    <row r="61" spans="2:12" ht="29.25" customHeight="1">
      <c r="B61" s="97" t="s">
        <v>760</v>
      </c>
      <c r="C61" s="196" t="str">
        <f>VLOOKUP(B61,ИСХОДНИК!A:P,5,FALSE())</f>
        <v>SFV-R 25</v>
      </c>
      <c r="D61" s="137">
        <f>VLOOKUP(B61,ИСХОДНИК!A:P,6,FALSE())</f>
        <v>32</v>
      </c>
      <c r="E61" s="182">
        <f>VLOOKUP(B61,ИСХОДНИК!A:P,7,FALSE())</f>
        <v>25</v>
      </c>
      <c r="F61" s="137" t="str">
        <f>VLOOKUP(B61,ИСХОДНИК!A:P,10,FALSE())</f>
        <v>R717, R744 и фреоны</v>
      </c>
      <c r="G61" s="137" t="str">
        <f>VLOOKUP(B61,ИСХОДНИК!A:P,9,FALSE())</f>
        <v xml:space="preserve"> -50…100</v>
      </c>
      <c r="H61" s="212" t="str">
        <f>VLOOKUP(B61,ИСХОДНИК!A:K,11,FALSE())</f>
        <v>Вход - резьба G 1 1/4"
Выход - резьба G 1 1/2"</v>
      </c>
      <c r="I61" s="105" t="str">
        <f>VLOOKUP(B61,ИСХОДНИК!A:P,15,FALSE())</f>
        <v>U6 PL40R</v>
      </c>
      <c r="J61" s="139">
        <f>VLOOKUP(B61,ИСХОДНИК!A:P,13,FALSE())</f>
        <v>396000</v>
      </c>
      <c r="K61" s="139">
        <f>VLOOKUP(B61,ИСХОДНИК!A:P,14,FALSE())</f>
        <v>459359.99999999994</v>
      </c>
      <c r="L61" s="198" t="str">
        <f>IF(VLOOKUP(B61,ИСХОДНИК!A:R,18,FALSE())=1,ИСХОДНИК!$T$2,IF(VLOOKUP(B61,ИСХОДНИК!A:R,18,FALSE())=2,ИСХОДНИК!$T$5,IF(VLOOKUP(B61,ИСХОДНИК!A:R,18,FALSE())=3,ИСХОДНИК!$T$6)))</f>
        <v>○</v>
      </c>
    </row>
    <row r="62" spans="2:12" ht="29.25" customHeight="1">
      <c r="B62" s="97" t="s">
        <v>761</v>
      </c>
      <c r="C62" s="196" t="str">
        <f>VLOOKUP(B62,ИСХОДНИК!A:P,5,FALSE())</f>
        <v>SFV-R 25</v>
      </c>
      <c r="D62" s="137">
        <f>VLOOKUP(B62,ИСХОДНИК!A:P,6,FALSE())</f>
        <v>33</v>
      </c>
      <c r="E62" s="182">
        <f>VLOOKUP(B62,ИСХОДНИК!A:P,7,FALSE())</f>
        <v>25</v>
      </c>
      <c r="F62" s="137" t="str">
        <f>VLOOKUP(B62,ИСХОДНИК!A:P,10,FALSE())</f>
        <v>R717, R744 и фреоны</v>
      </c>
      <c r="G62" s="137" t="str">
        <f>VLOOKUP(B62,ИСХОДНИК!A:P,9,FALSE())</f>
        <v xml:space="preserve"> -50…100</v>
      </c>
      <c r="H62" s="212" t="str">
        <f>VLOOKUP(B62,ИСХОДНИК!A:K,11,FALSE())</f>
        <v>Вход - резьба G 1 1/4"
Выход - резьба G 1 1/2"</v>
      </c>
      <c r="I62" s="105" t="str">
        <f>VLOOKUP(B62,ИСХОДНИК!A:P,15,FALSE())</f>
        <v>U6 PL40R</v>
      </c>
      <c r="J62" s="139">
        <f>VLOOKUP(B62,ИСХОДНИК!A:P,13,FALSE())</f>
        <v>396000</v>
      </c>
      <c r="K62" s="139">
        <f>VLOOKUP(B62,ИСХОДНИК!A:P,14,FALSE())</f>
        <v>459359.99999999994</v>
      </c>
      <c r="L62" s="198" t="str">
        <f>IF(VLOOKUP(B62,ИСХОДНИК!A:R,18,FALSE())=1,ИСХОДНИК!$T$2,IF(VLOOKUP(B62,ИСХОДНИК!A:R,18,FALSE())=2,ИСХОДНИК!$T$5,IF(VLOOKUP(B62,ИСХОДНИК!A:R,18,FALSE())=3,ИСХОДНИК!$T$6)))</f>
        <v>○</v>
      </c>
    </row>
    <row r="63" spans="2:12" ht="29.25" customHeight="1">
      <c r="B63" s="97" t="s">
        <v>762</v>
      </c>
      <c r="C63" s="196" t="str">
        <f>VLOOKUP(B63,ИСХОДНИК!A:P,5,FALSE())</f>
        <v>SFV-R 25</v>
      </c>
      <c r="D63" s="137">
        <f>VLOOKUP(B63,ИСХОДНИК!A:P,6,FALSE())</f>
        <v>34</v>
      </c>
      <c r="E63" s="182">
        <f>VLOOKUP(B63,ИСХОДНИК!A:P,7,FALSE())</f>
        <v>25</v>
      </c>
      <c r="F63" s="137" t="str">
        <f>VLOOKUP(B63,ИСХОДНИК!A:P,10,FALSE())</f>
        <v>R717, R744 и фреоны</v>
      </c>
      <c r="G63" s="137" t="str">
        <f>VLOOKUP(B63,ИСХОДНИК!A:P,9,FALSE())</f>
        <v xml:space="preserve"> -50…100</v>
      </c>
      <c r="H63" s="212" t="str">
        <f>VLOOKUP(B63,ИСХОДНИК!A:K,11,FALSE())</f>
        <v>Вход - резьба G 1 1/4"
Выход - резьба G 1 1/2"</v>
      </c>
      <c r="I63" s="105" t="str">
        <f>VLOOKUP(B63,ИСХОДНИК!A:P,15,FALSE())</f>
        <v>U6 PL40R</v>
      </c>
      <c r="J63" s="139">
        <f>VLOOKUP(B63,ИСХОДНИК!A:P,13,FALSE())</f>
        <v>396000</v>
      </c>
      <c r="K63" s="139">
        <f>VLOOKUP(B63,ИСХОДНИК!A:P,14,FALSE())</f>
        <v>459359.99999999994</v>
      </c>
      <c r="L63" s="198" t="str">
        <f>IF(VLOOKUP(B63,ИСХОДНИК!A:R,18,FALSE())=1,ИСХОДНИК!$T$2,IF(VLOOKUP(B63,ИСХОДНИК!A:R,18,FALSE())=2,ИСХОДНИК!$T$5,IF(VLOOKUP(B63,ИСХОДНИК!A:R,18,FALSE())=3,ИСХОДНИК!$T$6)))</f>
        <v>○</v>
      </c>
    </row>
    <row r="64" spans="2:12" ht="29.25" customHeight="1">
      <c r="B64" s="97" t="s">
        <v>763</v>
      </c>
      <c r="C64" s="196" t="str">
        <f>VLOOKUP(B64,ИСХОДНИК!A:P,5,FALSE())</f>
        <v>SFV-R 25</v>
      </c>
      <c r="D64" s="137">
        <f>VLOOKUP(B64,ИСХОДНИК!A:P,6,FALSE())</f>
        <v>35</v>
      </c>
      <c r="E64" s="182">
        <f>VLOOKUP(B64,ИСХОДНИК!A:P,7,FALSE())</f>
        <v>25</v>
      </c>
      <c r="F64" s="137" t="str">
        <f>VLOOKUP(B64,ИСХОДНИК!A:P,10,FALSE())</f>
        <v>R717, R744 и фреоны</v>
      </c>
      <c r="G64" s="137" t="str">
        <f>VLOOKUP(B64,ИСХОДНИК!A:P,9,FALSE())</f>
        <v xml:space="preserve"> -50…100</v>
      </c>
      <c r="H64" s="212" t="str">
        <f>VLOOKUP(B64,ИСХОДНИК!A:K,11,FALSE())</f>
        <v>Вход - резьба G 1 1/4"
Выход - резьба G 1 1/2"</v>
      </c>
      <c r="I64" s="105" t="str">
        <f>VLOOKUP(B64,ИСХОДНИК!A:P,15,FALSE())</f>
        <v>U6 PL40R</v>
      </c>
      <c r="J64" s="139">
        <f>VLOOKUP(B64,ИСХОДНИК!A:P,13,FALSE())</f>
        <v>396000</v>
      </c>
      <c r="K64" s="139">
        <f>VLOOKUP(B64,ИСХОДНИК!A:P,14,FALSE())</f>
        <v>459359.99999999994</v>
      </c>
      <c r="L64" s="198" t="str">
        <f>IF(VLOOKUP(B64,ИСХОДНИК!A:R,18,FALSE())=1,ИСХОДНИК!$T$2,IF(VLOOKUP(B64,ИСХОДНИК!A:R,18,FALSE())=2,ИСХОДНИК!$T$5,IF(VLOOKUP(B64,ИСХОДНИК!A:R,18,FALSE())=3,ИСХОДНИК!$T$6)))</f>
        <v>○</v>
      </c>
    </row>
    <row r="65" spans="2:12" ht="29.25" customHeight="1">
      <c r="B65" s="97" t="s">
        <v>764</v>
      </c>
      <c r="C65" s="196" t="str">
        <f>VLOOKUP(B65,ИСХОДНИК!A:P,5,FALSE())</f>
        <v>SFV-R 25</v>
      </c>
      <c r="D65" s="137">
        <f>VLOOKUP(B65,ИСХОДНИК!A:P,6,FALSE())</f>
        <v>36</v>
      </c>
      <c r="E65" s="182">
        <f>VLOOKUP(B65,ИСХОДНИК!A:P,7,FALSE())</f>
        <v>25</v>
      </c>
      <c r="F65" s="137" t="str">
        <f>VLOOKUP(B65,ИСХОДНИК!A:P,10,FALSE())</f>
        <v>R717, R744 и фреоны</v>
      </c>
      <c r="G65" s="137" t="str">
        <f>VLOOKUP(B65,ИСХОДНИК!A:P,9,FALSE())</f>
        <v xml:space="preserve"> -50…100</v>
      </c>
      <c r="H65" s="212" t="str">
        <f>VLOOKUP(B65,ИСХОДНИК!A:K,11,FALSE())</f>
        <v>Вход - резьба G 1 1/4"
Выход - резьба G 1 1/2"</v>
      </c>
      <c r="I65" s="105" t="str">
        <f>VLOOKUP(B65,ИСХОДНИК!A:P,15,FALSE())</f>
        <v>U6 PL40R</v>
      </c>
      <c r="J65" s="139">
        <f>VLOOKUP(B65,ИСХОДНИК!A:P,13,FALSE())</f>
        <v>396000</v>
      </c>
      <c r="K65" s="139">
        <f>VLOOKUP(B65,ИСХОДНИК!A:P,14,FALSE())</f>
        <v>459359.99999999994</v>
      </c>
      <c r="L65" s="198" t="str">
        <f>IF(VLOOKUP(B65,ИСХОДНИК!A:R,18,FALSE())=1,ИСХОДНИК!$T$2,IF(VLOOKUP(B65,ИСХОДНИК!A:R,18,FALSE())=2,ИСХОДНИК!$T$5,IF(VLOOKUP(B65,ИСХОДНИК!A:R,18,FALSE())=3,ИСХОДНИК!$T$6)))</f>
        <v>○</v>
      </c>
    </row>
    <row r="66" spans="2:12" ht="29.25" customHeight="1">
      <c r="B66" s="97" t="s">
        <v>765</v>
      </c>
      <c r="C66" s="196" t="str">
        <f>VLOOKUP(B66,ИСХОДНИК!A:P,5,FALSE())</f>
        <v>SFV-R 25</v>
      </c>
      <c r="D66" s="137">
        <f>VLOOKUP(B66,ИСХОДНИК!A:P,6,FALSE())</f>
        <v>37</v>
      </c>
      <c r="E66" s="182">
        <f>VLOOKUP(B66,ИСХОДНИК!A:P,7,FALSE())</f>
        <v>25</v>
      </c>
      <c r="F66" s="137" t="str">
        <f>VLOOKUP(B66,ИСХОДНИК!A:P,10,FALSE())</f>
        <v>R717, R744 и фреоны</v>
      </c>
      <c r="G66" s="137" t="str">
        <f>VLOOKUP(B66,ИСХОДНИК!A:P,9,FALSE())</f>
        <v xml:space="preserve"> -50…100</v>
      </c>
      <c r="H66" s="212" t="str">
        <f>VLOOKUP(B66,ИСХОДНИК!A:K,11,FALSE())</f>
        <v>Вход - резьба G 1 1/4"
Выход - резьба G 1 1/2"</v>
      </c>
      <c r="I66" s="105" t="str">
        <f>VLOOKUP(B66,ИСХОДНИК!A:P,15,FALSE())</f>
        <v>U6 PL40R</v>
      </c>
      <c r="J66" s="139">
        <f>VLOOKUP(B66,ИСХОДНИК!A:P,13,FALSE())</f>
        <v>396000</v>
      </c>
      <c r="K66" s="139">
        <f>VLOOKUP(B66,ИСХОДНИК!A:P,14,FALSE())</f>
        <v>459359.99999999994</v>
      </c>
      <c r="L66" s="198" t="str">
        <f>IF(VLOOKUP(B66,ИСХОДНИК!A:R,18,FALSE())=1,ИСХОДНИК!$T$2,IF(VLOOKUP(B66,ИСХОДНИК!A:R,18,FALSE())=2,ИСХОДНИК!$T$5,IF(VLOOKUP(B66,ИСХОДНИК!A:R,18,FALSE())=3,ИСХОДНИК!$T$6)))</f>
        <v>○</v>
      </c>
    </row>
    <row r="67" spans="2:12" ht="29.25" customHeight="1">
      <c r="B67" s="97" t="s">
        <v>766</v>
      </c>
      <c r="C67" s="196" t="str">
        <f>VLOOKUP(B67,ИСХОДНИК!A:P,5,FALSE())</f>
        <v>SFV-R 25</v>
      </c>
      <c r="D67" s="137">
        <f>VLOOKUP(B67,ИСХОДНИК!A:P,6,FALSE())</f>
        <v>38</v>
      </c>
      <c r="E67" s="182">
        <f>VLOOKUP(B67,ИСХОДНИК!A:P,7,FALSE())</f>
        <v>25</v>
      </c>
      <c r="F67" s="137" t="str">
        <f>VLOOKUP(B67,ИСХОДНИК!A:P,10,FALSE())</f>
        <v>R717, R744 и фреоны</v>
      </c>
      <c r="G67" s="137" t="str">
        <f>VLOOKUP(B67,ИСХОДНИК!A:P,9,FALSE())</f>
        <v xml:space="preserve"> -50…100</v>
      </c>
      <c r="H67" s="212" t="str">
        <f>VLOOKUP(B67,ИСХОДНИК!A:K,11,FALSE())</f>
        <v>Вход - резьба G 1 1/4"
Выход - резьба G 1 1/2"</v>
      </c>
      <c r="I67" s="105" t="str">
        <f>VLOOKUP(B67,ИСХОДНИК!A:P,15,FALSE())</f>
        <v>U6 PL40R</v>
      </c>
      <c r="J67" s="139">
        <f>VLOOKUP(B67,ИСХОДНИК!A:P,13,FALSE())</f>
        <v>396000</v>
      </c>
      <c r="K67" s="139">
        <f>VLOOKUP(B67,ИСХОДНИК!A:P,14,FALSE())</f>
        <v>459359.99999999994</v>
      </c>
      <c r="L67" s="198" t="str">
        <f>IF(VLOOKUP(B67,ИСХОДНИК!A:R,18,FALSE())=1,ИСХОДНИК!$T$2,IF(VLOOKUP(B67,ИСХОДНИК!A:R,18,FALSE())=2,ИСХОДНИК!$T$5,IF(VLOOKUP(B67,ИСХОДНИК!A:R,18,FALSE())=3,ИСХОДНИК!$T$6)))</f>
        <v>○</v>
      </c>
    </row>
    <row r="68" spans="2:12" ht="29.25" customHeight="1">
      <c r="B68" s="97" t="s">
        <v>767</v>
      </c>
      <c r="C68" s="196" t="str">
        <f>VLOOKUP(B68,ИСХОДНИК!A:P,5,FALSE())</f>
        <v>SFV-R 25</v>
      </c>
      <c r="D68" s="137">
        <f>VLOOKUP(B68,ИСХОДНИК!A:P,6,FALSE())</f>
        <v>39</v>
      </c>
      <c r="E68" s="182">
        <f>VLOOKUP(B68,ИСХОДНИК!A:P,7,FALSE())</f>
        <v>25</v>
      </c>
      <c r="F68" s="137" t="str">
        <f>VLOOKUP(B68,ИСХОДНИК!A:P,10,FALSE())</f>
        <v>R717, R744 и фреоны</v>
      </c>
      <c r="G68" s="137" t="str">
        <f>VLOOKUP(B68,ИСХОДНИК!A:P,9,FALSE())</f>
        <v xml:space="preserve"> -50…100</v>
      </c>
      <c r="H68" s="212" t="str">
        <f>VLOOKUP(B68,ИСХОДНИК!A:K,11,FALSE())</f>
        <v>Вход - резьба G 1 1/4"
Выход - резьба G 1 1/2"</v>
      </c>
      <c r="I68" s="105" t="str">
        <f>VLOOKUP(B68,ИСХОДНИК!A:P,15,FALSE())</f>
        <v>U6 PL40R</v>
      </c>
      <c r="J68" s="139">
        <f>VLOOKUP(B68,ИСХОДНИК!A:P,13,FALSE())</f>
        <v>396000</v>
      </c>
      <c r="K68" s="139">
        <f>VLOOKUP(B68,ИСХОДНИК!A:P,14,FALSE())</f>
        <v>459359.99999999994</v>
      </c>
      <c r="L68" s="198" t="str">
        <f>IF(VLOOKUP(B68,ИСХОДНИК!A:R,18,FALSE())=1,ИСХОДНИК!$T$2,IF(VLOOKUP(B68,ИСХОДНИК!A:R,18,FALSE())=2,ИСХОДНИК!$T$5,IF(VLOOKUP(B68,ИСХОДНИК!A:R,18,FALSE())=3,ИСХОДНИК!$T$6)))</f>
        <v>○</v>
      </c>
    </row>
    <row r="69" spans="2:12" ht="29.25" customHeight="1">
      <c r="B69" s="97" t="s">
        <v>768</v>
      </c>
      <c r="C69" s="196" t="str">
        <f>VLOOKUP(B69,ИСХОДНИК!A:P,5,FALSE())</f>
        <v>SFV-R 25</v>
      </c>
      <c r="D69" s="137">
        <f>VLOOKUP(B69,ИСХОДНИК!A:P,6,FALSE())</f>
        <v>40</v>
      </c>
      <c r="E69" s="182">
        <f>VLOOKUP(B69,ИСХОДНИК!A:P,7,FALSE())</f>
        <v>25</v>
      </c>
      <c r="F69" s="137" t="str">
        <f>VLOOKUP(B69,ИСХОДНИК!A:P,10,FALSE())</f>
        <v>R717, R744 и фреоны</v>
      </c>
      <c r="G69" s="137" t="str">
        <f>VLOOKUP(B69,ИСХОДНИК!A:P,9,FALSE())</f>
        <v xml:space="preserve"> -50…100</v>
      </c>
      <c r="H69" s="212" t="str">
        <f>VLOOKUP(B69,ИСХОДНИК!A:K,11,FALSE())</f>
        <v>Вход - резьба G 1 1/4"
Выход - резьба G 1 1/2"</v>
      </c>
      <c r="I69" s="105" t="str">
        <f>VLOOKUP(B69,ИСХОДНИК!A:P,15,FALSE())</f>
        <v>U6 PL40R</v>
      </c>
      <c r="J69" s="139">
        <f>VLOOKUP(B69,ИСХОДНИК!A:P,13,FALSE())</f>
        <v>396000</v>
      </c>
      <c r="K69" s="139">
        <f>VLOOKUP(B69,ИСХОДНИК!A:P,14,FALSE())</f>
        <v>459359.99999999994</v>
      </c>
      <c r="L69" s="198" t="str">
        <f>IF(VLOOKUP(B69,ИСХОДНИК!A:R,18,FALSE())=1,ИСХОДНИК!$T$2,IF(VLOOKUP(B69,ИСХОДНИК!A:R,18,FALSE())=2,ИСХОДНИК!$T$5,IF(VLOOKUP(B69,ИСХОДНИК!A:R,18,FALSE())=3,ИСХОДНИК!$T$6)))</f>
        <v>○</v>
      </c>
    </row>
    <row r="71" spans="2:12" ht="24.75" customHeight="1">
      <c r="B71" s="569" t="s">
        <v>769</v>
      </c>
      <c r="C71" s="569"/>
      <c r="D71" s="569"/>
      <c r="E71" s="569"/>
      <c r="F71" s="569"/>
      <c r="G71" s="569"/>
      <c r="H71" s="569"/>
      <c r="I71" s="569"/>
      <c r="J71" s="569"/>
      <c r="K71" s="569"/>
      <c r="L71" s="569"/>
    </row>
    <row r="74" spans="2:12" ht="13.5">
      <c r="B74" s="238"/>
    </row>
    <row r="75" spans="2:12" ht="13.5">
      <c r="B75" s="238"/>
    </row>
    <row r="76" spans="2:12" ht="13.5">
      <c r="B76" s="238"/>
    </row>
  </sheetData>
  <autoFilter ref="B11:L11" xr:uid="{00000000-0009-0000-0000-000013000000}"/>
  <mergeCells count="3">
    <mergeCell ref="B3:G3"/>
    <mergeCell ref="I10:L10"/>
    <mergeCell ref="B71:L71"/>
  </mergeCells>
  <conditionalFormatting sqref="J12:K25 J26:K69 Q12:R14">
    <cfRule type="containsErrors" dxfId="1" priority="2">
      <formula>ISERROR(J12)</formula>
    </cfRule>
  </conditionalFormatting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2"/>
  <sheetViews>
    <sheetView showGridLines="0" zoomScaleNormal="100" workbookViewId="0">
      <selection activeCell="I12" sqref="I12"/>
    </sheetView>
  </sheetViews>
  <sheetFormatPr defaultColWidth="9.1796875" defaultRowHeight="12" customHeight="1"/>
  <cols>
    <col min="1" max="1" width="2.1796875" style="107" customWidth="1"/>
    <col min="2" max="2" width="18.1796875" style="108" customWidth="1"/>
    <col min="3" max="3" width="18.1796875" style="107" customWidth="1"/>
    <col min="4" max="4" width="12.453125" style="107" customWidth="1"/>
    <col min="5" max="5" width="27.1796875" style="107" customWidth="1"/>
    <col min="6" max="6" width="14.81640625" style="107" customWidth="1"/>
    <col min="7" max="7" width="25.1796875" style="107" customWidth="1"/>
    <col min="8" max="8" width="12.1796875" style="107" customWidth="1"/>
    <col min="9" max="9" width="12" style="107" customWidth="1"/>
    <col min="10" max="10" width="11.1796875" style="107" customWidth="1"/>
    <col min="11" max="11" width="4.81640625" style="107" customWidth="1"/>
    <col min="12" max="16384" width="9.1796875" style="107"/>
  </cols>
  <sheetData>
    <row r="1" spans="1:11" ht="11.25" customHeight="1"/>
    <row r="2" spans="1:11" ht="40.5" customHeight="1">
      <c r="B2" s="213" t="s">
        <v>770</v>
      </c>
      <c r="C2" s="217"/>
      <c r="D2" s="217"/>
      <c r="E2" s="217"/>
      <c r="F2" s="217"/>
      <c r="G2" s="217"/>
      <c r="H2" s="217"/>
      <c r="I2" s="217"/>
      <c r="J2" s="217"/>
      <c r="K2" s="218"/>
    </row>
    <row r="3" spans="1:11" ht="81" customHeight="1">
      <c r="B3" s="491" t="s">
        <v>771</v>
      </c>
      <c r="C3" s="491"/>
      <c r="D3" s="491"/>
      <c r="E3" s="491"/>
      <c r="F3" s="491"/>
      <c r="G3" s="491"/>
      <c r="H3" s="113"/>
      <c r="I3" s="113"/>
      <c r="J3" s="113"/>
      <c r="K3" s="114"/>
    </row>
    <row r="4" spans="1:11" ht="12" customHeight="1">
      <c r="B4" s="76" t="s">
        <v>58</v>
      </c>
      <c r="C4" s="115" t="s">
        <v>59</v>
      </c>
      <c r="D4" s="116"/>
      <c r="E4" s="116"/>
      <c r="F4" s="219"/>
      <c r="G4" s="113"/>
      <c r="H4" s="113"/>
      <c r="I4" s="113"/>
      <c r="J4" s="113"/>
      <c r="K4" s="114"/>
    </row>
    <row r="5" spans="1:11" ht="11.25" customHeight="1">
      <c r="B5" s="78" t="s">
        <v>61</v>
      </c>
      <c r="C5" s="115" t="s">
        <v>62</v>
      </c>
      <c r="D5" s="116"/>
      <c r="E5" s="116"/>
      <c r="F5" s="219"/>
      <c r="G5" s="113"/>
      <c r="H5" s="113"/>
      <c r="I5" s="113"/>
      <c r="J5" s="113"/>
      <c r="K5" s="114"/>
    </row>
    <row r="6" spans="1:11" ht="11.25" customHeight="1">
      <c r="B6" s="80" t="s">
        <v>65</v>
      </c>
      <c r="C6" s="115" t="s">
        <v>66</v>
      </c>
      <c r="D6" s="116"/>
      <c r="E6" s="116"/>
      <c r="F6" s="219"/>
      <c r="G6" s="113"/>
      <c r="H6" s="113"/>
      <c r="I6" s="113"/>
      <c r="J6" s="113"/>
      <c r="K6" s="114"/>
    </row>
    <row r="7" spans="1:11" ht="11.25" customHeight="1">
      <c r="B7" s="80"/>
      <c r="C7" s="115"/>
      <c r="D7" s="116"/>
      <c r="E7" s="116"/>
      <c r="F7" s="219"/>
      <c r="G7" s="113"/>
      <c r="H7" s="113"/>
      <c r="I7" s="113"/>
      <c r="J7" s="113"/>
      <c r="K7" s="114"/>
    </row>
    <row r="8" spans="1:11" ht="15" customHeight="1">
      <c r="B8" s="118"/>
      <c r="C8" s="119"/>
      <c r="D8" s="120"/>
      <c r="E8" s="120"/>
      <c r="F8" s="219"/>
      <c r="G8" s="113"/>
      <c r="H8" s="113"/>
      <c r="I8" s="113"/>
      <c r="J8" s="113"/>
      <c r="K8" s="114"/>
    </row>
    <row r="9" spans="1:11" ht="15" customHeight="1">
      <c r="A9" s="121"/>
      <c r="B9" s="122"/>
      <c r="C9" s="74"/>
      <c r="D9" s="123"/>
      <c r="E9" s="123"/>
      <c r="F9" s="219"/>
      <c r="G9" s="113"/>
      <c r="H9" s="113"/>
      <c r="I9" s="113"/>
      <c r="J9" s="113"/>
      <c r="K9" s="114"/>
    </row>
    <row r="10" spans="1:11" s="61" customFormat="1" ht="15.75" customHeight="1">
      <c r="B10" s="174"/>
      <c r="C10" s="221"/>
      <c r="D10" s="221"/>
      <c r="E10" s="221"/>
      <c r="F10" s="221"/>
      <c r="G10" s="221"/>
      <c r="H10" s="492"/>
      <c r="I10" s="492"/>
      <c r="J10" s="492"/>
      <c r="K10" s="492"/>
    </row>
    <row r="11" spans="1:11" ht="37.5" customHeight="1">
      <c r="B11" s="95" t="s">
        <v>72</v>
      </c>
      <c r="C11" s="95" t="s">
        <v>90</v>
      </c>
      <c r="D11" s="95" t="s">
        <v>81</v>
      </c>
      <c r="E11" s="95" t="s">
        <v>84</v>
      </c>
      <c r="F11" s="95" t="s">
        <v>82</v>
      </c>
      <c r="G11" s="95" t="s">
        <v>83</v>
      </c>
      <c r="H11" s="208" t="s">
        <v>67</v>
      </c>
      <c r="I11" s="94" t="s">
        <v>74</v>
      </c>
      <c r="J11" s="94" t="s">
        <v>75</v>
      </c>
      <c r="K11" s="152" t="s">
        <v>55</v>
      </c>
    </row>
    <row r="12" spans="1:11" ht="22.5" customHeight="1">
      <c r="B12" s="97" t="s">
        <v>772</v>
      </c>
      <c r="C12" s="98" t="str">
        <f>VLOOKUP(B12,ИСХОДНИК!A:P,5,FALSE())</f>
        <v>DSV-F 25/25</v>
      </c>
      <c r="D12" s="105">
        <f>VLOOKUP(B12,ИСХОДНИК!A:P,7,FALSE())</f>
        <v>25</v>
      </c>
      <c r="E12" s="137" t="str">
        <f>VLOOKUP(B12,ИСХОДНИК!A:P,10,FALSE())</f>
        <v>R717, R744 и фреоны</v>
      </c>
      <c r="F12" s="137">
        <f>VLOOKUP(B12,ИСХОДНИК!A:P,8,FALSE())</f>
        <v>52</v>
      </c>
      <c r="G12" s="137" t="str">
        <f>VLOOKUP(B12,ИСХОДНИК!A:P,9,FALSE())</f>
        <v xml:space="preserve"> -50…120</v>
      </c>
      <c r="H12" s="105" t="str">
        <f>VLOOKUP(B12,ИСХОДНИК!A:P,15,FALSE())</f>
        <v>U6 PL40R</v>
      </c>
      <c r="I12" s="139">
        <f>VLOOKUP(B12,ИСХОДНИК!A:P,13,FALSE())</f>
        <v>504000</v>
      </c>
      <c r="J12" s="139">
        <f>VLOOKUP(B12,ИСХОДНИК!A:P,14,FALSE())</f>
        <v>584640</v>
      </c>
      <c r="K12" s="104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1" ht="22.5" customHeight="1">
      <c r="B13" s="97" t="s">
        <v>773</v>
      </c>
      <c r="C13" s="98" t="str">
        <f>VLOOKUP(B13,ИСХОДНИК!A:P,5,FALSE())</f>
        <v>DSV-F 32/25</v>
      </c>
      <c r="D13" s="105">
        <f>VLOOKUP(B13,ИСХОДНИК!A:P,7,FALSE())</f>
        <v>32</v>
      </c>
      <c r="E13" s="137" t="str">
        <f>VLOOKUP(B13,ИСХОДНИК!A:P,10,FALSE())</f>
        <v>R717, R744 и фреоны</v>
      </c>
      <c r="F13" s="137">
        <f>VLOOKUP(B13,ИСХОДНИК!A:P,8,FALSE())</f>
        <v>52</v>
      </c>
      <c r="G13" s="137" t="str">
        <f>VLOOKUP(B13,ИСХОДНИК!A:P,9,FALSE())</f>
        <v xml:space="preserve"> -50…120</v>
      </c>
      <c r="H13" s="105" t="str">
        <f>VLOOKUP(B13,ИСХОДНИК!A:P,15,FALSE())</f>
        <v>U6 PL40R</v>
      </c>
      <c r="I13" s="139">
        <f>VLOOKUP(B13,ИСХОДНИК!A:P,13,FALSE())</f>
        <v>516000</v>
      </c>
      <c r="J13" s="139">
        <f>VLOOKUP(B13,ИСХОДНИК!A:P,14,FALSE())</f>
        <v>598560</v>
      </c>
      <c r="K13" s="140" t="str">
        <f>IF(VLOOKUP(B13,ИСХОДНИК!A:R,18,FALSE())=1,ИСХОДНИК!$T$2,IF(VLOOKUP(B13,ИСХОДНИК!A:R,18,FALSE())=2,ИСХОДНИК!$T$5,IF(VLOOKUP(B13,ИСХОДНИК!A:R,18,FALSE())=3,ИСХОДНИК!$T$6)))</f>
        <v>○</v>
      </c>
    </row>
    <row r="14" spans="1:11" ht="22.5" customHeight="1">
      <c r="B14" s="97" t="s">
        <v>774</v>
      </c>
      <c r="C14" s="98" t="str">
        <f>VLOOKUP(B14,ИСХОДНИК!A:P,5,FALSE())</f>
        <v>DSV-F 32/32</v>
      </c>
      <c r="D14" s="105">
        <f>VLOOKUP(B14,ИСХОДНИК!A:P,7,FALSE())</f>
        <v>32</v>
      </c>
      <c r="E14" s="137" t="str">
        <f>VLOOKUP(B14,ИСХОДНИК!A:P,10,FALSE())</f>
        <v>R717, R744 и фреоны</v>
      </c>
      <c r="F14" s="137">
        <f>VLOOKUP(B14,ИСХОДНИК!A:P,8,FALSE())</f>
        <v>52</v>
      </c>
      <c r="G14" s="137" t="str">
        <f>VLOOKUP(B14,ИСХОДНИК!A:P,9,FALSE())</f>
        <v xml:space="preserve"> -50…120</v>
      </c>
      <c r="H14" s="105" t="str">
        <f>VLOOKUP(B14,ИСХОДНИК!A:P,15,FALSE())</f>
        <v>U6 PL40R</v>
      </c>
      <c r="I14" s="139">
        <f>VLOOKUP(B14,ИСХОДНИК!A:P,13,FALSE())</f>
        <v>528000</v>
      </c>
      <c r="J14" s="139">
        <f>VLOOKUP(B14,ИСХОДНИК!A:P,14,FALSE())</f>
        <v>612480</v>
      </c>
      <c r="K14" s="104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6" spans="1:11" ht="13.5">
      <c r="B16" s="530" t="s">
        <v>590</v>
      </c>
      <c r="C16" s="530"/>
    </row>
    <row r="17" spans="2:11" ht="14.25" customHeight="1">
      <c r="B17" s="95" t="s">
        <v>72</v>
      </c>
      <c r="C17" s="494" t="s">
        <v>2</v>
      </c>
      <c r="D17" s="494"/>
      <c r="E17" s="494"/>
      <c r="F17" s="95" t="s">
        <v>775</v>
      </c>
      <c r="G17" s="95" t="s">
        <v>776</v>
      </c>
      <c r="H17" s="506"/>
      <c r="I17" s="506"/>
      <c r="J17" s="506"/>
      <c r="K17" s="506"/>
    </row>
    <row r="18" spans="2:11" ht="13.5">
      <c r="B18" s="570" t="s">
        <v>772</v>
      </c>
      <c r="C18" s="571" t="s">
        <v>777</v>
      </c>
      <c r="D18" s="571"/>
      <c r="E18" s="571"/>
      <c r="F18" s="105">
        <v>1</v>
      </c>
      <c r="G18" s="105">
        <v>1</v>
      </c>
      <c r="H18" s="506"/>
      <c r="I18" s="506"/>
      <c r="J18" s="506"/>
      <c r="K18" s="506"/>
    </row>
    <row r="19" spans="2:11" ht="13.5">
      <c r="B19" s="570"/>
      <c r="C19" s="571" t="s">
        <v>778</v>
      </c>
      <c r="D19" s="571"/>
      <c r="E19" s="571"/>
      <c r="F19" s="105" t="s">
        <v>779</v>
      </c>
      <c r="G19" s="105">
        <v>3</v>
      </c>
      <c r="H19" s="506"/>
      <c r="I19" s="506"/>
      <c r="J19" s="506"/>
      <c r="K19" s="506"/>
    </row>
    <row r="20" spans="2:11" ht="13.5">
      <c r="B20" s="570"/>
      <c r="C20" s="571" t="s">
        <v>780</v>
      </c>
      <c r="D20" s="571"/>
      <c r="E20" s="571"/>
      <c r="F20" s="105">
        <v>3</v>
      </c>
      <c r="G20" s="105">
        <v>2</v>
      </c>
      <c r="H20" s="506"/>
      <c r="I20" s="506"/>
      <c r="J20" s="506"/>
      <c r="K20" s="506"/>
    </row>
    <row r="21" spans="2:11" ht="13.5">
      <c r="B21" s="570"/>
      <c r="C21" s="571" t="s">
        <v>781</v>
      </c>
      <c r="D21" s="571"/>
      <c r="E21" s="571"/>
      <c r="F21" s="105">
        <v>4</v>
      </c>
      <c r="G21" s="105">
        <v>2</v>
      </c>
      <c r="H21" s="506"/>
      <c r="I21" s="506"/>
      <c r="J21" s="506"/>
      <c r="K21" s="506"/>
    </row>
    <row r="22" spans="2:11" ht="13.5">
      <c r="B22" s="570" t="s">
        <v>773</v>
      </c>
      <c r="C22" s="495" t="s">
        <v>777</v>
      </c>
      <c r="D22" s="495"/>
      <c r="E22" s="495"/>
      <c r="F22" s="105">
        <v>1</v>
      </c>
      <c r="G22" s="105">
        <v>1</v>
      </c>
      <c r="H22" s="506"/>
      <c r="I22" s="506"/>
      <c r="J22" s="506"/>
      <c r="K22" s="506"/>
    </row>
    <row r="23" spans="2:11" ht="13.5">
      <c r="B23" s="570"/>
      <c r="C23" s="495" t="s">
        <v>782</v>
      </c>
      <c r="D23" s="495"/>
      <c r="E23" s="495"/>
      <c r="F23" s="105">
        <v>2</v>
      </c>
      <c r="G23" s="105">
        <v>1</v>
      </c>
      <c r="H23" s="506"/>
      <c r="I23" s="506"/>
      <c r="J23" s="506"/>
      <c r="K23" s="506"/>
    </row>
    <row r="24" spans="2:11" ht="13.5">
      <c r="B24" s="570"/>
      <c r="C24" s="495" t="s">
        <v>780</v>
      </c>
      <c r="D24" s="495"/>
      <c r="E24" s="495"/>
      <c r="F24" s="105">
        <v>3</v>
      </c>
      <c r="G24" s="105">
        <v>2</v>
      </c>
      <c r="H24" s="506"/>
      <c r="I24" s="506"/>
      <c r="J24" s="506"/>
      <c r="K24" s="506"/>
    </row>
    <row r="25" spans="2:11" ht="13.5">
      <c r="B25" s="570"/>
      <c r="C25" s="495" t="s">
        <v>781</v>
      </c>
      <c r="D25" s="495"/>
      <c r="E25" s="495"/>
      <c r="F25" s="105">
        <v>4</v>
      </c>
      <c r="G25" s="105">
        <v>2</v>
      </c>
      <c r="H25" s="506"/>
      <c r="I25" s="506"/>
      <c r="J25" s="506"/>
      <c r="K25" s="506"/>
    </row>
    <row r="26" spans="2:11" ht="13.5">
      <c r="B26" s="570"/>
      <c r="C26" s="495" t="s">
        <v>783</v>
      </c>
      <c r="D26" s="495"/>
      <c r="E26" s="495"/>
      <c r="F26" s="105">
        <v>5</v>
      </c>
      <c r="G26" s="105">
        <v>2</v>
      </c>
      <c r="H26" s="506"/>
      <c r="I26" s="506"/>
      <c r="J26" s="506"/>
      <c r="K26" s="506"/>
    </row>
    <row r="27" spans="2:11" ht="13.5">
      <c r="B27" s="570" t="s">
        <v>774</v>
      </c>
      <c r="C27" s="495" t="s">
        <v>777</v>
      </c>
      <c r="D27" s="495"/>
      <c r="E27" s="495"/>
      <c r="F27" s="105">
        <v>1</v>
      </c>
      <c r="G27" s="105">
        <v>1</v>
      </c>
      <c r="H27" s="506"/>
      <c r="I27" s="506"/>
      <c r="J27" s="506"/>
      <c r="K27" s="506"/>
    </row>
    <row r="28" spans="2:11" ht="13.5">
      <c r="B28" s="570"/>
      <c r="C28" s="495" t="s">
        <v>782</v>
      </c>
      <c r="D28" s="495"/>
      <c r="E28" s="495"/>
      <c r="F28" s="105" t="s">
        <v>779</v>
      </c>
      <c r="G28" s="105">
        <v>3</v>
      </c>
      <c r="H28" s="506"/>
      <c r="I28" s="506"/>
      <c r="J28" s="506"/>
      <c r="K28" s="506"/>
    </row>
    <row r="29" spans="2:11" ht="13.5">
      <c r="B29" s="570"/>
      <c r="C29" s="495" t="s">
        <v>780</v>
      </c>
      <c r="D29" s="495"/>
      <c r="E29" s="495"/>
      <c r="F29" s="105">
        <v>3</v>
      </c>
      <c r="G29" s="105">
        <v>2</v>
      </c>
      <c r="H29" s="506"/>
      <c r="I29" s="506"/>
      <c r="J29" s="506"/>
      <c r="K29" s="506"/>
    </row>
    <row r="30" spans="2:11" ht="13.5">
      <c r="B30" s="570"/>
      <c r="C30" s="495" t="s">
        <v>781</v>
      </c>
      <c r="D30" s="495"/>
      <c r="E30" s="495"/>
      <c r="F30" s="105">
        <v>4</v>
      </c>
      <c r="G30" s="105">
        <v>2</v>
      </c>
      <c r="H30" s="506"/>
      <c r="I30" s="506"/>
      <c r="J30" s="506"/>
      <c r="K30" s="506"/>
    </row>
    <row r="31" spans="2:11" ht="13.5">
      <c r="B31" s="572" t="s">
        <v>784</v>
      </c>
      <c r="C31" s="572"/>
      <c r="D31" s="572"/>
      <c r="E31" s="572"/>
      <c r="F31" s="572"/>
      <c r="G31" s="572"/>
    </row>
    <row r="32" spans="2:11" ht="13.5">
      <c r="B32" s="572" t="s">
        <v>785</v>
      </c>
      <c r="C32" s="572"/>
      <c r="D32" s="572"/>
      <c r="E32" s="572"/>
      <c r="F32" s="572"/>
      <c r="G32" s="572"/>
    </row>
  </sheetData>
  <autoFilter ref="B11:K11" xr:uid="{00000000-0009-0000-0000-000014000000}"/>
  <mergeCells count="23">
    <mergeCell ref="B31:G31"/>
    <mergeCell ref="B32:G32"/>
    <mergeCell ref="B27:B30"/>
    <mergeCell ref="C27:E27"/>
    <mergeCell ref="C28:E28"/>
    <mergeCell ref="C29:E29"/>
    <mergeCell ref="C30:E30"/>
    <mergeCell ref="B3:G3"/>
    <mergeCell ref="H10:K10"/>
    <mergeCell ref="B16:C16"/>
    <mergeCell ref="C17:E17"/>
    <mergeCell ref="H17:K30"/>
    <mergeCell ref="B18:B21"/>
    <mergeCell ref="C18:E18"/>
    <mergeCell ref="C19:E19"/>
    <mergeCell ref="C20:E20"/>
    <mergeCell ref="C21:E21"/>
    <mergeCell ref="B22:B26"/>
    <mergeCell ref="C22:E22"/>
    <mergeCell ref="C23:E23"/>
    <mergeCell ref="C24:E24"/>
    <mergeCell ref="C25:E25"/>
    <mergeCell ref="C26:E26"/>
  </mergeCells>
  <conditionalFormatting sqref="I12:J14">
    <cfRule type="containsErrors" dxfId="0" priority="2">
      <formula>ISERROR(I12)</formula>
    </cfRule>
  </conditionalFormatting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3"/>
  <sheetViews>
    <sheetView showGridLines="0" zoomScaleNormal="100" workbookViewId="0">
      <selection activeCell="I22" sqref="I22"/>
    </sheetView>
  </sheetViews>
  <sheetFormatPr defaultColWidth="9.1796875" defaultRowHeight="12" customHeight="1"/>
  <cols>
    <col min="1" max="1" width="2.1796875" style="107" customWidth="1"/>
    <col min="2" max="2" width="15.81640625" style="108" customWidth="1"/>
    <col min="3" max="3" width="20.81640625" style="107" customWidth="1"/>
    <col min="4" max="4" width="26.7265625" style="107" customWidth="1"/>
    <col min="5" max="5" width="24.1796875" style="107" customWidth="1"/>
    <col min="6" max="6" width="11.1796875" style="107" customWidth="1"/>
    <col min="7" max="7" width="16.1796875" style="107" customWidth="1"/>
    <col min="8" max="8" width="17.7265625" style="107" customWidth="1"/>
    <col min="9" max="9" width="12.1796875" style="107" customWidth="1"/>
    <col min="10" max="10" width="11.1796875" style="107" customWidth="1"/>
    <col min="11" max="11" width="4.453125" style="107" customWidth="1"/>
    <col min="12" max="16384" width="9.1796875" style="107"/>
  </cols>
  <sheetData>
    <row r="1" spans="1:11" ht="11.25" customHeight="1"/>
    <row r="2" spans="1:11" ht="42" customHeight="1">
      <c r="B2" s="213" t="s">
        <v>786</v>
      </c>
      <c r="C2" s="110"/>
      <c r="D2" s="217"/>
      <c r="E2" s="217"/>
      <c r="F2" s="217"/>
      <c r="G2" s="217"/>
      <c r="H2" s="217"/>
      <c r="I2" s="217"/>
      <c r="J2" s="217"/>
      <c r="K2" s="218"/>
    </row>
    <row r="3" spans="1:11" ht="70.5" customHeight="1">
      <c r="B3" s="491" t="s">
        <v>787</v>
      </c>
      <c r="C3" s="491"/>
      <c r="D3" s="491"/>
      <c r="E3" s="491"/>
      <c r="F3" s="491"/>
      <c r="G3" s="112"/>
      <c r="H3" s="113"/>
      <c r="I3" s="113"/>
      <c r="J3" s="113"/>
      <c r="K3" s="114"/>
    </row>
    <row r="4" spans="1:11" ht="10.5" customHeight="1">
      <c r="B4" s="76" t="s">
        <v>58</v>
      </c>
      <c r="C4" s="115" t="s">
        <v>59</v>
      </c>
      <c r="D4" s="164"/>
      <c r="E4" s="116"/>
      <c r="F4" s="371"/>
      <c r="G4" s="113"/>
      <c r="H4" s="113"/>
      <c r="I4" s="113"/>
      <c r="J4" s="113"/>
      <c r="K4" s="114"/>
    </row>
    <row r="5" spans="1:11" ht="10.5" customHeight="1">
      <c r="B5" s="78" t="s">
        <v>61</v>
      </c>
      <c r="C5" s="115" t="s">
        <v>62</v>
      </c>
      <c r="D5" s="164"/>
      <c r="E5" s="116"/>
      <c r="F5" s="371"/>
      <c r="G5" s="113"/>
      <c r="H5" s="113"/>
      <c r="I5" s="113"/>
      <c r="J5" s="113"/>
      <c r="K5" s="114"/>
    </row>
    <row r="6" spans="1:11" ht="11.25" customHeight="1">
      <c r="B6" s="80" t="s">
        <v>65</v>
      </c>
      <c r="C6" s="115" t="s">
        <v>66</v>
      </c>
      <c r="D6" s="164"/>
      <c r="E6" s="116"/>
      <c r="F6" s="371"/>
      <c r="G6" s="113"/>
      <c r="H6" s="113"/>
      <c r="I6" s="113"/>
      <c r="J6" s="113"/>
      <c r="K6" s="114"/>
    </row>
    <row r="7" spans="1:11" ht="10.5" customHeight="1">
      <c r="B7" s="80"/>
      <c r="C7" s="115"/>
      <c r="D7" s="164"/>
      <c r="E7" s="116"/>
      <c r="F7" s="371"/>
      <c r="G7" s="113"/>
      <c r="H7" s="113"/>
      <c r="I7" s="113"/>
      <c r="J7" s="113"/>
      <c r="K7" s="114"/>
    </row>
    <row r="8" spans="1:11" s="382" customFormat="1" ht="15" customHeight="1">
      <c r="B8" s="118"/>
      <c r="C8" s="119"/>
      <c r="D8" s="119"/>
      <c r="E8" s="120"/>
      <c r="F8" s="113"/>
      <c r="G8" s="113"/>
      <c r="H8" s="113"/>
      <c r="I8" s="113"/>
      <c r="J8" s="113"/>
      <c r="K8" s="114"/>
    </row>
    <row r="9" spans="1:11" s="382" customFormat="1" ht="15" customHeight="1">
      <c r="A9" s="227"/>
      <c r="B9" s="122"/>
      <c r="C9" s="74"/>
      <c r="D9" s="74"/>
      <c r="E9" s="123"/>
      <c r="F9" s="113"/>
      <c r="G9" s="113"/>
      <c r="H9" s="385" t="s">
        <v>788</v>
      </c>
      <c r="I9" s="385" t="s">
        <v>789</v>
      </c>
      <c r="J9" s="113"/>
      <c r="K9" s="114"/>
    </row>
    <row r="10" spans="1:11" ht="11.25" customHeight="1">
      <c r="B10" s="260"/>
      <c r="C10" s="125"/>
      <c r="D10" s="125"/>
      <c r="E10" s="125"/>
      <c r="F10" s="125"/>
      <c r="G10" s="125"/>
      <c r="H10" s="492"/>
      <c r="I10" s="492"/>
      <c r="J10" s="492"/>
      <c r="K10" s="492"/>
    </row>
    <row r="11" spans="1:11" ht="44.25" customHeight="1">
      <c r="B11" s="95" t="s">
        <v>72</v>
      </c>
      <c r="C11" s="95" t="s">
        <v>90</v>
      </c>
      <c r="D11" s="95" t="s">
        <v>91</v>
      </c>
      <c r="E11" s="95" t="s">
        <v>84</v>
      </c>
      <c r="F11" s="95" t="s">
        <v>82</v>
      </c>
      <c r="G11" s="95" t="s">
        <v>83</v>
      </c>
      <c r="H11" s="208" t="s">
        <v>67</v>
      </c>
      <c r="I11" s="94" t="s">
        <v>74</v>
      </c>
      <c r="J11" s="94" t="s">
        <v>75</v>
      </c>
      <c r="K11" s="242" t="s">
        <v>55</v>
      </c>
    </row>
    <row r="12" spans="1:11" ht="17.5">
      <c r="B12" s="97" t="s">
        <v>790</v>
      </c>
      <c r="C12" s="98" t="str">
        <f>VLOOKUP(B12,ИСХОДНИК!A:P,5,FALSE())</f>
        <v>LLG-R 185</v>
      </c>
      <c r="D12" s="134" t="str">
        <f>VLOOKUP(B12,ИСХОДНИК!A:P,11,FALSE())</f>
        <v>Под сварку встык DIN</v>
      </c>
      <c r="E12" s="212" t="str">
        <f>VLOOKUP(B12,ИСХОДНИК!A:P,10,FALSE())</f>
        <v>R717, R744 и фреоны</v>
      </c>
      <c r="F12" s="137">
        <f>VLOOKUP(B12,ИСХОДНИК!A:P,8,FALSE())</f>
        <v>40</v>
      </c>
      <c r="G12" s="181" t="str">
        <f>VLOOKUP(B12,ИСХОДНИК!A:P,9,FALSE())</f>
        <v xml:space="preserve"> -50…120</v>
      </c>
      <c r="H12" s="137" t="str">
        <f>VLOOKUP(B12,ИСХОДНИК!A:P,15,FALSE())</f>
        <v>PR PL40R-Project</v>
      </c>
      <c r="I12" s="139">
        <f>VLOOKUP(B12,ИСХОДНИК!A:P,13,FALSE())</f>
        <v>552000</v>
      </c>
      <c r="J12" s="139">
        <f>VLOOKUP(B12,ИСХОДНИК!A:P,14,FALSE())</f>
        <v>640320</v>
      </c>
      <c r="K12" s="104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1" ht="17.5">
      <c r="B13" s="97" t="s">
        <v>791</v>
      </c>
      <c r="C13" s="98" t="str">
        <f>VLOOKUP(B13,ИСХОДНИК!A:P,5,FALSE())</f>
        <v>LLG-R 335</v>
      </c>
      <c r="D13" s="134" t="str">
        <f>VLOOKUP(B13,ИСХОДНИК!A:P,11,FALSE())</f>
        <v>Под сварку встык DIN</v>
      </c>
      <c r="E13" s="212" t="str">
        <f>VLOOKUP(B13,ИСХОДНИК!A:P,10,FALSE())</f>
        <v>R717, R744 и фреоны</v>
      </c>
      <c r="F13" s="137">
        <f>VLOOKUP(B13,ИСХОДНИК!A:P,8,FALSE())</f>
        <v>40</v>
      </c>
      <c r="G13" s="181" t="str">
        <f>VLOOKUP(B13,ИСХОДНИК!A:P,9,FALSE())</f>
        <v xml:space="preserve"> -50…120</v>
      </c>
      <c r="H13" s="137" t="str">
        <f>VLOOKUP(B13,ИСХОДНИК!A:P,15,FALSE())</f>
        <v>PR PL40R-Project</v>
      </c>
      <c r="I13" s="139">
        <f>VLOOKUP(B13,ИСХОДНИК!A:P,13,FALSE())</f>
        <v>654000</v>
      </c>
      <c r="J13" s="139">
        <f>VLOOKUP(B13,ИСХОДНИК!A:P,14,FALSE())</f>
        <v>758640</v>
      </c>
      <c r="K13" s="104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1" ht="17.5">
      <c r="B14" s="97" t="s">
        <v>792</v>
      </c>
      <c r="C14" s="98" t="str">
        <f>VLOOKUP(B14,ИСХОДНИК!A:P,5,FALSE())</f>
        <v>LLG-R 590</v>
      </c>
      <c r="D14" s="134" t="str">
        <f>VLOOKUP(B14,ИСХОДНИК!A:P,11,FALSE())</f>
        <v>Под сварку встык DIN</v>
      </c>
      <c r="E14" s="212" t="str">
        <f>VLOOKUP(B14,ИСХОДНИК!A:P,10,FALSE())</f>
        <v>R717, R744 и фреоны</v>
      </c>
      <c r="F14" s="137">
        <f>VLOOKUP(B14,ИСХОДНИК!A:P,8,FALSE())</f>
        <v>40</v>
      </c>
      <c r="G14" s="181" t="str">
        <f>VLOOKUP(B14,ИСХОДНИК!A:P,9,FALSE())</f>
        <v xml:space="preserve"> -50…120</v>
      </c>
      <c r="H14" s="137" t="str">
        <f>VLOOKUP(B14,ИСХОДНИК!A:P,15,FALSE())</f>
        <v>PR PL40R-Project</v>
      </c>
      <c r="I14" s="139">
        <f>VLOOKUP(B14,ИСХОДНИК!A:P,13,FALSE())</f>
        <v>1074000</v>
      </c>
      <c r="J14" s="139">
        <f>VLOOKUP(B14,ИСХОДНИК!A:P,14,FALSE())</f>
        <v>1245840</v>
      </c>
      <c r="K14" s="104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1" ht="17.5">
      <c r="B15" s="97" t="s">
        <v>793</v>
      </c>
      <c r="C15" s="98" t="str">
        <f>VLOOKUP(B15,ИСХОДНИК!A:P,5,FALSE())</f>
        <v>LLG-R 740</v>
      </c>
      <c r="D15" s="134" t="str">
        <f>VLOOKUP(B15,ИСХОДНИК!A:P,11,FALSE())</f>
        <v>Под сварку встык DIN</v>
      </c>
      <c r="E15" s="212" t="str">
        <f>VLOOKUP(B15,ИСХОДНИК!A:P,10,FALSE())</f>
        <v>R717, R744 и фреоны</v>
      </c>
      <c r="F15" s="137">
        <f>VLOOKUP(B15,ИСХОДНИК!A:P,8,FALSE())</f>
        <v>40</v>
      </c>
      <c r="G15" s="181" t="str">
        <f>VLOOKUP(B15,ИСХОДНИК!A:P,9,FALSE())</f>
        <v xml:space="preserve"> -50…120</v>
      </c>
      <c r="H15" s="137" t="str">
        <f>VLOOKUP(B15,ИСХОДНИК!A:P,15,FALSE())</f>
        <v>PR PL40R-Project</v>
      </c>
      <c r="I15" s="139">
        <f>VLOOKUP(B15,ИСХОДНИК!A:P,13,FALSE())</f>
        <v>1290000</v>
      </c>
      <c r="J15" s="139">
        <f>VLOOKUP(B15,ИСХОДНИК!A:P,14,FALSE())</f>
        <v>1496400</v>
      </c>
      <c r="K15" s="104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1" ht="17.5">
      <c r="B16" s="97" t="s">
        <v>794</v>
      </c>
      <c r="C16" s="98" t="str">
        <f>VLOOKUP(B16,ИСХОДНИК!A:P,5,FALSE())</f>
        <v>LLG-R 995</v>
      </c>
      <c r="D16" s="134" t="str">
        <f>VLOOKUP(B16,ИСХОДНИК!A:P,11,FALSE())</f>
        <v>Под сварку встык DIN</v>
      </c>
      <c r="E16" s="212" t="str">
        <f>VLOOKUP(B16,ИСХОДНИК!A:P,10,FALSE())</f>
        <v>R717, R744 и фреоны</v>
      </c>
      <c r="F16" s="137">
        <f>VLOOKUP(B16,ИСХОДНИК!A:P,8,FALSE())</f>
        <v>40</v>
      </c>
      <c r="G16" s="181" t="str">
        <f>VLOOKUP(B16,ИСХОДНИК!A:P,9,FALSE())</f>
        <v xml:space="preserve"> -50…120</v>
      </c>
      <c r="H16" s="137" t="str">
        <f>VLOOKUP(B16,ИСХОДНИК!A:P,15,FALSE())</f>
        <v>PR PL40R-Project</v>
      </c>
      <c r="I16" s="139">
        <f>VLOOKUP(B16,ИСХОДНИК!A:P,13,FALSE())</f>
        <v>1560000</v>
      </c>
      <c r="J16" s="139">
        <f>VLOOKUP(B16,ИСХОДНИК!A:P,14,FALSE())</f>
        <v>1809599.9999999998</v>
      </c>
      <c r="K16" s="104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1" ht="17.5">
      <c r="B17" s="97" t="s">
        <v>795</v>
      </c>
      <c r="C17" s="98" t="str">
        <f>VLOOKUP(B17,ИСХОДНИК!A:P,5,FALSE())</f>
        <v>LLG-R 1145</v>
      </c>
      <c r="D17" s="134" t="str">
        <f>VLOOKUP(B17,ИСХОДНИК!A:P,11,FALSE())</f>
        <v>Под сварку встык DIN</v>
      </c>
      <c r="E17" s="212" t="str">
        <f>VLOOKUP(B17,ИСХОДНИК!A:P,10,FALSE())</f>
        <v>R717, R744 и фреоны</v>
      </c>
      <c r="F17" s="137">
        <f>VLOOKUP(B17,ИСХОДНИК!A:P,8,FALSE())</f>
        <v>40</v>
      </c>
      <c r="G17" s="181" t="str">
        <f>VLOOKUP(B17,ИСХОДНИК!A:P,9,FALSE())</f>
        <v xml:space="preserve"> -50…120</v>
      </c>
      <c r="H17" s="137" t="str">
        <f>VLOOKUP(B17,ИСХОДНИК!A:P,15,FALSE())</f>
        <v>PR PL40R-Project</v>
      </c>
      <c r="I17" s="139">
        <f>VLOOKUP(B17,ИСХОДНИК!A:P,13,FALSE())</f>
        <v>1740000</v>
      </c>
      <c r="J17" s="139">
        <f>VLOOKUP(B17,ИСХОДНИК!A:P,14,FALSE())</f>
        <v>2018399.9999999998</v>
      </c>
      <c r="K17" s="104" t="str">
        <f>IF(VLOOKUP(B17,ИСХОДНИК!A:R,18,FALSE())=1,ИСХОДНИК!$T$2,IF(VLOOKUP(B17,ИСХОДНИК!A:R,18,FALSE())=2,ИСХОДНИК!$T$5,IF(VLOOKUP(B17,ИСХОДНИК!A:R,18,FALSE())=3,ИСХОДНИК!$T$6)))</f>
        <v>◑</v>
      </c>
    </row>
    <row r="18" spans="2:11" ht="17.5">
      <c r="B18" s="97" t="s">
        <v>796</v>
      </c>
      <c r="C18" s="98" t="str">
        <f>VLOOKUP(B18,ИСХОДНИК!A:P,5,FALSE())</f>
        <v>LLG-R 1550</v>
      </c>
      <c r="D18" s="134" t="str">
        <f>VLOOKUP(B18,ИСХОДНИК!A:P,11,FALSE())</f>
        <v>Под сварку встык DIN</v>
      </c>
      <c r="E18" s="212" t="str">
        <f>VLOOKUP(B18,ИСХОДНИК!A:P,10,FALSE())</f>
        <v>R717, R744 и фреоны</v>
      </c>
      <c r="F18" s="137">
        <f>VLOOKUP(B18,ИСХОДНИК!A:P,8,FALSE())</f>
        <v>40</v>
      </c>
      <c r="G18" s="181" t="str">
        <f>VLOOKUP(B18,ИСХОДНИК!A:P,9,FALSE())</f>
        <v xml:space="preserve"> -50…120</v>
      </c>
      <c r="H18" s="137" t="str">
        <f>VLOOKUP(B18,ИСХОДНИК!A:P,15,FALSE())</f>
        <v>PR PL40R-Project</v>
      </c>
      <c r="I18" s="139">
        <f>VLOOKUP(B18,ИСХОДНИК!A:P,13,FALSE())</f>
        <v>2220000</v>
      </c>
      <c r="J18" s="139">
        <f>VLOOKUP(B18,ИСХОДНИК!A:P,14,FALSE())</f>
        <v>2575200</v>
      </c>
      <c r="K18" s="104" t="str">
        <f>IF(VLOOKUP(B18,ИСХОДНИК!A:R,18,FALSE())=1,ИСХОДНИК!$T$2,IF(VLOOKUP(B18,ИСХОДНИК!A:R,18,FALSE())=2,ИСХОДНИК!$T$5,IF(VLOOKUP(B18,ИСХОДНИК!A:R,18,FALSE())=3,ИСХОДНИК!$T$6)))</f>
        <v>◑</v>
      </c>
    </row>
    <row r="19" spans="2:11" ht="15" customHeight="1">
      <c r="B19" s="573" t="s">
        <v>797</v>
      </c>
      <c r="C19" s="573"/>
      <c r="D19" s="573"/>
      <c r="E19" s="573"/>
      <c r="F19" s="573"/>
      <c r="G19" s="573"/>
      <c r="H19" s="573"/>
      <c r="I19" s="573"/>
      <c r="J19" s="573"/>
      <c r="K19" s="573"/>
    </row>
    <row r="21" spans="2:11" ht="40.5">
      <c r="B21" s="208" t="s">
        <v>72</v>
      </c>
      <c r="C21" s="208" t="s">
        <v>90</v>
      </c>
      <c r="D21" s="208" t="s">
        <v>91</v>
      </c>
      <c r="E21" s="208" t="s">
        <v>84</v>
      </c>
      <c r="F21" s="208" t="s">
        <v>82</v>
      </c>
      <c r="G21" s="208" t="s">
        <v>83</v>
      </c>
      <c r="H21" s="208" t="s">
        <v>67</v>
      </c>
      <c r="I21" s="208" t="s">
        <v>74</v>
      </c>
      <c r="J21" s="208" t="s">
        <v>75</v>
      </c>
      <c r="K21" s="242" t="s">
        <v>55</v>
      </c>
    </row>
    <row r="22" spans="2:11" s="61" customFormat="1" ht="34.5" customHeight="1">
      <c r="B22" s="97" t="s">
        <v>798</v>
      </c>
      <c r="C22" s="280" t="str">
        <f>VLOOKUP(B22,ИСХОДНИК!A:P,5,FALSE())</f>
        <v xml:space="preserve">SG-R 25D </v>
      </c>
      <c r="D22" s="280" t="str">
        <f>VLOOKUP(B22,ИСХОДНИК!A:P,11,FALSE())</f>
        <v>Под сварку встык DIN</v>
      </c>
      <c r="E22" s="280" t="str">
        <f>VLOOKUP(B22,ИСХОДНИК!A:P,10,FALSE())</f>
        <v>R717, R744 и фреоны</v>
      </c>
      <c r="F22" s="105">
        <f>VLOOKUP(B22,ИСХОДНИК!A:P,8,FALSE())</f>
        <v>52</v>
      </c>
      <c r="G22" s="105" t="str">
        <f>VLOOKUP(B22,ИСХОДНИК!A:P,9,FALSE())</f>
        <v xml:space="preserve"> -50…150</v>
      </c>
      <c r="H22" s="105" t="str">
        <f>VLOOKUP(B22,ИСХОДНИК!A:P,15,FALSE())</f>
        <v>U6 PL40R</v>
      </c>
      <c r="I22" s="139">
        <f>VLOOKUP(B22,ИСХОДНИК!A:P,13,FALSE())</f>
        <v>156000</v>
      </c>
      <c r="J22" s="139">
        <f>VLOOKUP(B22,ИСХОДНИК!A:P,14,FALSE())</f>
        <v>180960</v>
      </c>
      <c r="K22" s="105" t="str">
        <f>IF(VLOOKUP(B22,ИСХОДНИК!A:R,18,FALSE())=1,ИСХОДНИК!$T$2,IF(VLOOKUP(B22,ИСХОДНИК!A:R,18,FALSE())=2,ИСХОДНИК!$T$5,IF(VLOOKUP(B18,ИСХОДНИК!A:R,18,FALSE())=3,ИСХОДНИК!$T$6)))</f>
        <v>◑</v>
      </c>
    </row>
    <row r="23" spans="2:11" ht="13.5">
      <c r="B23" s="573" t="s">
        <v>799</v>
      </c>
      <c r="C23" s="573"/>
      <c r="D23" s="573"/>
      <c r="E23" s="573"/>
      <c r="F23" s="573"/>
      <c r="G23" s="573"/>
      <c r="H23" s="573"/>
      <c r="I23" s="573"/>
      <c r="J23" s="573"/>
      <c r="K23" s="573"/>
    </row>
  </sheetData>
  <autoFilter ref="B11:K11" xr:uid="{00000000-0009-0000-0000-000015000000}"/>
  <mergeCells count="4">
    <mergeCell ref="B3:F3"/>
    <mergeCell ref="H10:K10"/>
    <mergeCell ref="B19:K19"/>
    <mergeCell ref="B23:K23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5"/>
  <sheetViews>
    <sheetView showGridLines="0" zoomScaleNormal="100" workbookViewId="0">
      <selection activeCell="K12" sqref="K12"/>
    </sheetView>
  </sheetViews>
  <sheetFormatPr defaultColWidth="9.1796875" defaultRowHeight="12" customHeight="1"/>
  <cols>
    <col min="1" max="1" width="2.1796875" style="107" customWidth="1"/>
    <col min="2" max="2" width="15.81640625" style="108" customWidth="1"/>
    <col min="3" max="3" width="18.54296875" style="107" customWidth="1"/>
    <col min="4" max="4" width="21.7265625" style="107" customWidth="1"/>
    <col min="5" max="5" width="13.54296875" style="107" customWidth="1"/>
    <col min="6" max="6" width="17.7265625" style="107" customWidth="1"/>
    <col min="7" max="7" width="23.1796875" style="107" customWidth="1"/>
    <col min="8" max="8" width="11.1796875" style="107" customWidth="1"/>
    <col min="9" max="9" width="18.453125" style="107" customWidth="1"/>
    <col min="10" max="10" width="13.54296875" style="107" customWidth="1"/>
    <col min="11" max="11" width="10.453125" style="107" customWidth="1"/>
    <col min="12" max="12" width="11.1796875" style="107" customWidth="1"/>
    <col min="13" max="13" width="4.453125" style="107" customWidth="1"/>
    <col min="14" max="16384" width="9.1796875" style="107"/>
  </cols>
  <sheetData>
    <row r="1" spans="1:13" ht="11.25" customHeight="1"/>
    <row r="2" spans="1:13" ht="42" customHeight="1">
      <c r="B2" s="213" t="s">
        <v>800</v>
      </c>
      <c r="C2" s="110"/>
      <c r="D2" s="217"/>
      <c r="E2" s="217"/>
      <c r="F2" s="217"/>
      <c r="G2" s="217"/>
      <c r="H2" s="217"/>
      <c r="I2" s="217"/>
      <c r="J2" s="217"/>
      <c r="K2" s="217"/>
      <c r="L2" s="217"/>
      <c r="M2" s="218"/>
    </row>
    <row r="3" spans="1:13" ht="88.5" customHeight="1">
      <c r="B3" s="491" t="s">
        <v>801</v>
      </c>
      <c r="C3" s="491"/>
      <c r="D3" s="491"/>
      <c r="E3" s="491"/>
      <c r="F3" s="491"/>
      <c r="G3" s="491"/>
      <c r="H3" s="491"/>
      <c r="I3" s="112"/>
      <c r="J3" s="113"/>
      <c r="K3" s="113"/>
      <c r="L3" s="113"/>
      <c r="M3" s="114"/>
    </row>
    <row r="4" spans="1:13" ht="10.5" customHeight="1">
      <c r="B4" s="76" t="s">
        <v>58</v>
      </c>
      <c r="C4" s="115" t="s">
        <v>59</v>
      </c>
      <c r="D4" s="164"/>
      <c r="E4" s="116"/>
      <c r="F4" s="371"/>
      <c r="G4" s="113"/>
      <c r="H4" s="113"/>
      <c r="I4" s="113"/>
      <c r="J4" s="113"/>
      <c r="K4" s="113"/>
      <c r="L4" s="113"/>
      <c r="M4" s="114"/>
    </row>
    <row r="5" spans="1:13" ht="10.5" customHeight="1">
      <c r="B5" s="78" t="s">
        <v>61</v>
      </c>
      <c r="C5" s="115" t="s">
        <v>62</v>
      </c>
      <c r="D5" s="164"/>
      <c r="E5" s="116"/>
      <c r="F5" s="371"/>
      <c r="G5" s="113"/>
      <c r="H5" s="113"/>
      <c r="I5" s="113"/>
      <c r="J5" s="113"/>
      <c r="K5" s="113"/>
      <c r="L5" s="113"/>
      <c r="M5" s="114"/>
    </row>
    <row r="6" spans="1:13" ht="10.5" customHeight="1">
      <c r="B6" s="80" t="s">
        <v>65</v>
      </c>
      <c r="C6" s="115" t="s">
        <v>66</v>
      </c>
      <c r="D6" s="164"/>
      <c r="E6" s="116"/>
      <c r="F6" s="371"/>
      <c r="G6" s="113"/>
      <c r="H6" s="113"/>
      <c r="I6" s="113"/>
      <c r="J6" s="113"/>
      <c r="K6" s="113"/>
      <c r="L6" s="113"/>
      <c r="M6" s="114"/>
    </row>
    <row r="7" spans="1:13" ht="10.5" customHeight="1">
      <c r="B7" s="80"/>
      <c r="C7" s="115"/>
      <c r="D7" s="164"/>
      <c r="E7" s="116"/>
      <c r="F7" s="371"/>
      <c r="G7" s="113"/>
      <c r="H7" s="113"/>
      <c r="I7" s="113"/>
      <c r="J7" s="113"/>
      <c r="K7" s="113"/>
      <c r="L7" s="113"/>
      <c r="M7" s="114"/>
    </row>
    <row r="8" spans="1:13" s="382" customFormat="1" ht="15" customHeight="1">
      <c r="B8" s="118"/>
      <c r="C8" s="119"/>
      <c r="D8" s="119"/>
      <c r="E8" s="120"/>
      <c r="F8" s="113"/>
      <c r="G8" s="113"/>
      <c r="H8" s="113"/>
      <c r="I8" s="113"/>
      <c r="J8" s="113"/>
      <c r="K8" s="113"/>
      <c r="L8" s="113"/>
      <c r="M8" s="114"/>
    </row>
    <row r="9" spans="1:13" s="382" customFormat="1" ht="9.75" customHeight="1">
      <c r="A9" s="227"/>
      <c r="B9" s="73"/>
      <c r="C9" s="74"/>
      <c r="D9" s="74"/>
      <c r="E9" s="123"/>
      <c r="F9" s="113"/>
      <c r="G9" s="113"/>
      <c r="H9" s="113"/>
      <c r="I9" s="113"/>
      <c r="J9" s="113"/>
      <c r="K9" s="113"/>
      <c r="L9" s="113"/>
      <c r="M9" s="114"/>
    </row>
    <row r="10" spans="1:13" ht="11.25" customHeight="1">
      <c r="B10" s="260"/>
      <c r="C10" s="125"/>
      <c r="D10" s="125"/>
      <c r="E10" s="125"/>
      <c r="F10" s="125"/>
      <c r="G10" s="125"/>
      <c r="H10" s="69"/>
      <c r="I10" s="69"/>
      <c r="J10" s="492"/>
      <c r="K10" s="492"/>
      <c r="L10" s="492"/>
      <c r="M10" s="492"/>
    </row>
    <row r="11" spans="1:13" ht="41.25" customHeight="1">
      <c r="B11" s="95" t="s">
        <v>72</v>
      </c>
      <c r="C11" s="95" t="s">
        <v>90</v>
      </c>
      <c r="D11" s="95" t="s">
        <v>802</v>
      </c>
      <c r="E11" s="95" t="s">
        <v>803</v>
      </c>
      <c r="F11" s="95" t="s">
        <v>804</v>
      </c>
      <c r="G11" s="95" t="s">
        <v>805</v>
      </c>
      <c r="H11" s="208" t="s">
        <v>806</v>
      </c>
      <c r="I11" s="208" t="s">
        <v>807</v>
      </c>
      <c r="J11" s="208" t="s">
        <v>67</v>
      </c>
      <c r="K11" s="94" t="s">
        <v>74</v>
      </c>
      <c r="L11" s="94" t="s">
        <v>75</v>
      </c>
      <c r="M11" s="242" t="s">
        <v>55</v>
      </c>
    </row>
    <row r="12" spans="1:13" ht="30" customHeight="1">
      <c r="B12" s="97" t="s">
        <v>808</v>
      </c>
      <c r="C12" s="105" t="str">
        <f>VLOOKUP(B12,ИСХОДНИК!A:P,5,FALSE())</f>
        <v>ICAD-R 600</v>
      </c>
      <c r="D12" s="137" t="s">
        <v>809</v>
      </c>
      <c r="E12" s="137" t="s">
        <v>810</v>
      </c>
      <c r="F12" s="137" t="s">
        <v>811</v>
      </c>
      <c r="G12" s="181" t="str">
        <f>VLOOKUP(B12,ИСХОДНИК!A:P,9,FALSE())</f>
        <v xml:space="preserve"> -30…50</v>
      </c>
      <c r="H12" s="181" t="s">
        <v>812</v>
      </c>
      <c r="I12" s="181" t="s">
        <v>813</v>
      </c>
      <c r="J12" s="105" t="str">
        <f>VLOOKUP(B12,ИСХОДНИК!A:P,15,FALSE())</f>
        <v>U6 PL40R</v>
      </c>
      <c r="K12" s="139">
        <f>VLOOKUP(B12,ИСХОДНИК!A:P,13,FALSE())</f>
        <v>1494000</v>
      </c>
      <c r="L12" s="139">
        <f>VLOOKUP(B12,ИСХОДНИК!A:P,14,FALSE())</f>
        <v>1733039.9999999998</v>
      </c>
      <c r="M12" s="386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3" ht="30" customHeight="1">
      <c r="B13" s="97" t="s">
        <v>814</v>
      </c>
      <c r="C13" s="105" t="str">
        <f>VLOOKUP(B13,ИСХОДНИК!A:P,5,FALSE())</f>
        <v xml:space="preserve"> ICAD-R 1200</v>
      </c>
      <c r="D13" s="137" t="s">
        <v>809</v>
      </c>
      <c r="E13" s="137" t="s">
        <v>815</v>
      </c>
      <c r="F13" s="137" t="s">
        <v>811</v>
      </c>
      <c r="G13" s="181" t="str">
        <f>VLOOKUP(B13,ИСХОДНИК!A:P,9,FALSE())</f>
        <v xml:space="preserve"> -30…50</v>
      </c>
      <c r="H13" s="181" t="s">
        <v>812</v>
      </c>
      <c r="I13" s="181" t="s">
        <v>816</v>
      </c>
      <c r="J13" s="105" t="str">
        <f>VLOOKUP(B13,ИСХОДНИК!A:P,15,FALSE())</f>
        <v>U6 PL40R</v>
      </c>
      <c r="K13" s="139">
        <f>VLOOKUP(B13,ИСХОДНИК!A:P,13,FALSE())</f>
        <v>2094000</v>
      </c>
      <c r="L13" s="139">
        <f>VLOOKUP(B13,ИСХОДНИК!A:P,14,FALSE())</f>
        <v>2429040</v>
      </c>
      <c r="M13" s="386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5" spans="1:13" ht="24.75" customHeight="1">
      <c r="B15" s="383"/>
      <c r="C15" s="383"/>
      <c r="D15" s="383"/>
      <c r="F15" s="568"/>
      <c r="G15" s="568"/>
      <c r="H15" s="568"/>
      <c r="I15" s="568"/>
      <c r="J15" s="568"/>
      <c r="K15" s="568"/>
      <c r="L15" s="568"/>
      <c r="M15" s="568"/>
    </row>
  </sheetData>
  <autoFilter ref="B11:M11" xr:uid="{00000000-0009-0000-0000-000016000000}"/>
  <mergeCells count="3">
    <mergeCell ref="B3:H3"/>
    <mergeCell ref="J10:M10"/>
    <mergeCell ref="F15:M15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M132"/>
  <sheetViews>
    <sheetView showGridLines="0" zoomScaleNormal="100" workbookViewId="0">
      <selection activeCell="J85" sqref="J85"/>
    </sheetView>
  </sheetViews>
  <sheetFormatPr defaultColWidth="8.6328125" defaultRowHeight="12.75" customHeight="1"/>
  <cols>
    <col min="1" max="1" width="2.1796875" customWidth="1"/>
    <col min="2" max="2" width="18.453125" style="387" customWidth="1"/>
    <col min="3" max="3" width="27" customWidth="1"/>
    <col min="4" max="4" width="15.1796875" customWidth="1"/>
    <col min="5" max="5" width="9.81640625" customWidth="1"/>
    <col min="6" max="6" width="11" style="388" customWidth="1"/>
    <col min="7" max="7" width="14.453125" customWidth="1"/>
    <col min="8" max="8" width="25.54296875" customWidth="1"/>
    <col min="9" max="9" width="11.1796875" customWidth="1"/>
    <col min="10" max="10" width="11" customWidth="1"/>
    <col min="11" max="11" width="10.81640625" customWidth="1"/>
    <col min="12" max="12" width="6.453125" customWidth="1"/>
    <col min="13" max="13" width="26" hidden="1" customWidth="1"/>
  </cols>
  <sheetData>
    <row r="1" spans="2:12" ht="12.5">
      <c r="B1" s="574" t="s">
        <v>199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</row>
    <row r="2" spans="2:12" ht="12.5"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</row>
    <row r="3" spans="2:12" ht="236.25" customHeight="1"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</row>
    <row r="4" spans="2:12" ht="16.5" customHeight="1">
      <c r="B4" s="389"/>
      <c r="C4" s="390"/>
      <c r="D4" s="390"/>
      <c r="E4" s="390"/>
      <c r="F4" s="390"/>
      <c r="G4" s="390"/>
      <c r="H4" s="390"/>
      <c r="I4" s="492"/>
      <c r="J4" s="492"/>
      <c r="K4" s="492"/>
      <c r="L4" s="492"/>
    </row>
    <row r="5" spans="2:12" ht="39.5">
      <c r="B5" s="237" t="s">
        <v>200</v>
      </c>
      <c r="C5" s="237" t="s">
        <v>2</v>
      </c>
      <c r="D5" s="237" t="s">
        <v>817</v>
      </c>
      <c r="E5" s="237" t="s">
        <v>76</v>
      </c>
      <c r="F5" s="237" t="s">
        <v>201</v>
      </c>
      <c r="G5" s="237" t="s">
        <v>818</v>
      </c>
      <c r="H5" s="237" t="s">
        <v>819</v>
      </c>
      <c r="I5" s="237" t="s">
        <v>67</v>
      </c>
      <c r="J5" s="94" t="s">
        <v>74</v>
      </c>
      <c r="K5" s="94" t="s">
        <v>75</v>
      </c>
      <c r="L5" s="301" t="s">
        <v>55</v>
      </c>
    </row>
    <row r="6" spans="2:12" ht="13.5">
      <c r="B6" s="576" t="s">
        <v>500</v>
      </c>
      <c r="C6" s="101" t="s">
        <v>820</v>
      </c>
      <c r="D6" s="101" t="s">
        <v>821</v>
      </c>
      <c r="E6" s="391">
        <v>2</v>
      </c>
      <c r="F6" s="200">
        <v>1</v>
      </c>
      <c r="G6" s="496" t="str">
        <f>VLOOKUP(B6,ИСХОДНИК!A:P,7,FALSE())</f>
        <v xml:space="preserve">  10-15</v>
      </c>
      <c r="H6" s="101" t="s">
        <v>822</v>
      </c>
      <c r="I6" s="496" t="str">
        <f>VLOOKUP(B6,ИСХОДНИК!A:P,15,FALSE())</f>
        <v>U6 PL40R</v>
      </c>
      <c r="J6" s="577">
        <f>VLOOKUP(B6,ИСХОДНИК!A:N,13,FALSE())</f>
        <v>18000</v>
      </c>
      <c r="K6" s="577">
        <f>VLOOKUP(B6,ИСХОДНИК!A:N,14,FALSE())</f>
        <v>20880</v>
      </c>
      <c r="L6" s="578" t="str">
        <f>IF(VLOOKUP(B6,ИСХОДНИК!A:R,18,FALSE())=1,ИСХОДНИК!$T$2,IF(VLOOKUP(B6,ИСХОДНИК!A:R,18,FALSE())=2,ИСХОДНИК!$T$5,IF(VLOOKUP(B6,ИСХОДНИК!A:R,18,FALSE())=3,ИСХОДНИК!$T$6)))</f>
        <v>◑</v>
      </c>
    </row>
    <row r="7" spans="2:12" ht="13.5">
      <c r="B7" s="576"/>
      <c r="C7" s="101" t="s">
        <v>820</v>
      </c>
      <c r="D7" s="101" t="s">
        <v>821</v>
      </c>
      <c r="E7" s="391">
        <v>1</v>
      </c>
      <c r="F7" s="200">
        <v>2</v>
      </c>
      <c r="G7" s="496"/>
      <c r="H7" s="101" t="s">
        <v>823</v>
      </c>
      <c r="I7" s="496"/>
      <c r="J7" s="577"/>
      <c r="K7" s="577"/>
      <c r="L7" s="578"/>
    </row>
    <row r="8" spans="2:12" ht="13.5">
      <c r="B8" s="576"/>
      <c r="C8" s="101" t="s">
        <v>820</v>
      </c>
      <c r="D8" s="101" t="s">
        <v>821</v>
      </c>
      <c r="E8" s="391">
        <v>1</v>
      </c>
      <c r="F8" s="200">
        <v>3</v>
      </c>
      <c r="G8" s="496"/>
      <c r="H8" s="101" t="s">
        <v>823</v>
      </c>
      <c r="I8" s="496"/>
      <c r="J8" s="577"/>
      <c r="K8" s="577"/>
      <c r="L8" s="578"/>
    </row>
    <row r="9" spans="2:12" ht="13.5">
      <c r="B9" s="576"/>
      <c r="C9" s="101" t="s">
        <v>820</v>
      </c>
      <c r="D9" s="101" t="s">
        <v>821</v>
      </c>
      <c r="E9" s="391">
        <v>3</v>
      </c>
      <c r="F9" s="200">
        <v>4</v>
      </c>
      <c r="G9" s="496"/>
      <c r="H9" s="101" t="s">
        <v>824</v>
      </c>
      <c r="I9" s="496"/>
      <c r="J9" s="577"/>
      <c r="K9" s="577"/>
      <c r="L9" s="578"/>
    </row>
    <row r="10" spans="2:12" ht="13.5">
      <c r="B10" s="576"/>
      <c r="C10" s="101" t="s">
        <v>825</v>
      </c>
      <c r="D10" s="101" t="s">
        <v>826</v>
      </c>
      <c r="E10" s="391">
        <v>3</v>
      </c>
      <c r="F10" s="200">
        <v>5</v>
      </c>
      <c r="G10" s="496"/>
      <c r="H10" s="101" t="s">
        <v>824</v>
      </c>
      <c r="I10" s="496"/>
      <c r="J10" s="577"/>
      <c r="K10" s="577"/>
      <c r="L10" s="578"/>
    </row>
    <row r="11" spans="2:12" ht="12.75" customHeight="1">
      <c r="B11" s="576" t="s">
        <v>501</v>
      </c>
      <c r="C11" s="101" t="s">
        <v>820</v>
      </c>
      <c r="D11" s="101" t="s">
        <v>821</v>
      </c>
      <c r="E11" s="391">
        <v>2</v>
      </c>
      <c r="F11" s="200">
        <v>1</v>
      </c>
      <c r="G11" s="496" t="str">
        <f>VLOOKUP(B11,ИСХОДНИК!A:P,7,FALSE())</f>
        <v>20-25</v>
      </c>
      <c r="H11" s="101" t="s">
        <v>822</v>
      </c>
      <c r="I11" s="496" t="str">
        <f>VLOOKUP(B11,ИСХОДНИК!A:P,15,FALSE())</f>
        <v>U6 PL40R</v>
      </c>
      <c r="J11" s="577">
        <f>VLOOKUP(B11,ИСХОДНИК!A:N,13,FALSE())</f>
        <v>21000</v>
      </c>
      <c r="K11" s="577">
        <f>VLOOKUP(B11,ИСХОДНИК!A:N,14,FALSE())</f>
        <v>24360</v>
      </c>
      <c r="L11" s="578" t="str">
        <f>IF(VLOOKUP(B11,ИСХОДНИК!A:R,18,FALSE())=1,ИСХОДНИК!$T$2,IF(VLOOKUP(B11,ИСХОДНИК!A:R,18,FALSE())=2,ИСХОДНИК!$T$5,IF(VLOOKUP(B11,ИСХОДНИК!A:R,18,FALSE())=3,ИСХОДНИК!$T$6)))</f>
        <v>◑</v>
      </c>
    </row>
    <row r="12" spans="2:12" ht="12.75" customHeight="1">
      <c r="B12" s="576"/>
      <c r="C12" s="101" t="s">
        <v>820</v>
      </c>
      <c r="D12" s="101" t="s">
        <v>821</v>
      </c>
      <c r="E12" s="391">
        <v>1</v>
      </c>
      <c r="F12" s="200">
        <v>2</v>
      </c>
      <c r="G12" s="496"/>
      <c r="H12" s="101" t="s">
        <v>827</v>
      </c>
      <c r="I12" s="496"/>
      <c r="J12" s="577"/>
      <c r="K12" s="577"/>
      <c r="L12" s="578"/>
    </row>
    <row r="13" spans="2:12" ht="12.75" customHeight="1">
      <c r="B13" s="576"/>
      <c r="C13" s="101" t="s">
        <v>820</v>
      </c>
      <c r="D13" s="101" t="s">
        <v>821</v>
      </c>
      <c r="E13" s="391">
        <v>1</v>
      </c>
      <c r="F13" s="200">
        <v>3</v>
      </c>
      <c r="G13" s="496"/>
      <c r="H13" s="101" t="s">
        <v>823</v>
      </c>
      <c r="I13" s="496"/>
      <c r="J13" s="577"/>
      <c r="K13" s="577"/>
      <c r="L13" s="578"/>
    </row>
    <row r="14" spans="2:12" ht="12.75" customHeight="1">
      <c r="B14" s="576"/>
      <c r="C14" s="101" t="s">
        <v>820</v>
      </c>
      <c r="D14" s="101" t="s">
        <v>821</v>
      </c>
      <c r="E14" s="391">
        <v>3</v>
      </c>
      <c r="F14" s="200">
        <v>4</v>
      </c>
      <c r="G14" s="496"/>
      <c r="H14" s="101" t="s">
        <v>824</v>
      </c>
      <c r="I14" s="496"/>
      <c r="J14" s="577"/>
      <c r="K14" s="577"/>
      <c r="L14" s="578"/>
    </row>
    <row r="15" spans="2:12" ht="12.75" customHeight="1">
      <c r="B15" s="576"/>
      <c r="C15" s="101" t="s">
        <v>825</v>
      </c>
      <c r="D15" s="101" t="s">
        <v>826</v>
      </c>
      <c r="E15" s="391">
        <v>3</v>
      </c>
      <c r="F15" s="200">
        <v>5</v>
      </c>
      <c r="G15" s="496"/>
      <c r="H15" s="101" t="s">
        <v>824</v>
      </c>
      <c r="I15" s="496"/>
      <c r="J15" s="577"/>
      <c r="K15" s="577"/>
      <c r="L15" s="578"/>
    </row>
    <row r="16" spans="2:12" ht="12.75" customHeight="1">
      <c r="B16" s="576" t="s">
        <v>575</v>
      </c>
      <c r="C16" s="101" t="s">
        <v>820</v>
      </c>
      <c r="D16" s="101" t="s">
        <v>821</v>
      </c>
      <c r="E16" s="391">
        <v>2</v>
      </c>
      <c r="F16" s="200">
        <v>1</v>
      </c>
      <c r="G16" s="496" t="str">
        <f>VLOOKUP(B16,ИСХОДНИК!A:P,7,FALSE())</f>
        <v>32-40</v>
      </c>
      <c r="H16" s="101" t="s">
        <v>828</v>
      </c>
      <c r="I16" s="496" t="str">
        <f>VLOOKUP(B16,ИСХОДНИК!A:P,15,FALSE())</f>
        <v>U6 PL40R</v>
      </c>
      <c r="J16" s="577">
        <f>VLOOKUP(B16,ИСХОДНИК!A:N,13,FALSE())</f>
        <v>37200</v>
      </c>
      <c r="K16" s="577">
        <f>VLOOKUP(B16,ИСХОДНИК!A:N,14,FALSE())</f>
        <v>43152</v>
      </c>
      <c r="L16" s="578" t="str">
        <f>IF(VLOOKUP(B16,ИСХОДНИК!A:R,18,FALSE())=1,ИСХОДНИК!$T$2,IF(VLOOKUP(B16,ИСХОДНИК!A:R,18,FALSE())=2,ИСХОДНИК!$T$5,IF(VLOOKUP(B16,ИСХОДНИК!A:R,18,FALSE())=3,ИСХОДНИК!$T$6)))</f>
        <v>◑</v>
      </c>
    </row>
    <row r="17" spans="2:12" ht="12.75" customHeight="1">
      <c r="B17" s="576"/>
      <c r="C17" s="101" t="s">
        <v>820</v>
      </c>
      <c r="D17" s="101" t="s">
        <v>821</v>
      </c>
      <c r="E17" s="391">
        <v>1</v>
      </c>
      <c r="F17" s="200">
        <v>2</v>
      </c>
      <c r="G17" s="496"/>
      <c r="H17" s="101" t="s">
        <v>829</v>
      </c>
      <c r="I17" s="496"/>
      <c r="J17" s="577"/>
      <c r="K17" s="577"/>
      <c r="L17" s="578"/>
    </row>
    <row r="18" spans="2:12" ht="12.75" customHeight="1">
      <c r="B18" s="576"/>
      <c r="C18" s="101" t="s">
        <v>820</v>
      </c>
      <c r="D18" s="101" t="s">
        <v>821</v>
      </c>
      <c r="E18" s="391">
        <v>1</v>
      </c>
      <c r="F18" s="200">
        <v>3</v>
      </c>
      <c r="G18" s="496"/>
      <c r="H18" s="101" t="s">
        <v>829</v>
      </c>
      <c r="I18" s="496"/>
      <c r="J18" s="577"/>
      <c r="K18" s="577"/>
      <c r="L18" s="578"/>
    </row>
    <row r="19" spans="2:12" ht="12.75" customHeight="1">
      <c r="B19" s="576"/>
      <c r="C19" s="101" t="s">
        <v>820</v>
      </c>
      <c r="D19" s="101" t="s">
        <v>821</v>
      </c>
      <c r="E19" s="391">
        <v>3</v>
      </c>
      <c r="F19" s="200">
        <v>4</v>
      </c>
      <c r="G19" s="496"/>
      <c r="H19" s="101" t="s">
        <v>830</v>
      </c>
      <c r="I19" s="496"/>
      <c r="J19" s="577"/>
      <c r="K19" s="577"/>
      <c r="L19" s="578"/>
    </row>
    <row r="20" spans="2:12" ht="12.75" customHeight="1">
      <c r="B20" s="576"/>
      <c r="C20" s="101" t="s">
        <v>825</v>
      </c>
      <c r="D20" s="101" t="s">
        <v>826</v>
      </c>
      <c r="E20" s="391">
        <v>3</v>
      </c>
      <c r="F20" s="200">
        <v>5</v>
      </c>
      <c r="G20" s="496"/>
      <c r="H20" s="101" t="s">
        <v>831</v>
      </c>
      <c r="I20" s="496"/>
      <c r="J20" s="577"/>
      <c r="K20" s="577"/>
      <c r="L20" s="578"/>
    </row>
    <row r="21" spans="2:12" ht="12.75" customHeight="1">
      <c r="B21" s="576" t="s">
        <v>576</v>
      </c>
      <c r="C21" s="101" t="s">
        <v>820</v>
      </c>
      <c r="D21" s="101" t="s">
        <v>821</v>
      </c>
      <c r="E21" s="391">
        <v>2</v>
      </c>
      <c r="F21" s="200">
        <v>1</v>
      </c>
      <c r="G21" s="496">
        <f>VLOOKUP(B21,ИСХОДНИК!A:P,7,FALSE())</f>
        <v>50</v>
      </c>
      <c r="H21" s="101" t="s">
        <v>829</v>
      </c>
      <c r="I21" s="496" t="str">
        <f>VLOOKUP(B21,ИСХОДНИК!A:P,15,FALSE())</f>
        <v>U6 PL40R</v>
      </c>
      <c r="J21" s="577">
        <f>VLOOKUP(B21,ИСХОДНИК!A:N,13,FALSE())</f>
        <v>45000</v>
      </c>
      <c r="K21" s="577">
        <f>VLOOKUP(B21,ИСХОДНИК!A:N,14,FALSE())</f>
        <v>52200</v>
      </c>
      <c r="L21" s="578" t="str">
        <f>IF(VLOOKUP(B21,ИСХОДНИК!A:R,18,FALSE())=1,ИСХОДНИК!$T$2,IF(VLOOKUP(B21,ИСХОДНИК!A:R,18,FALSE())=2,ИСХОДНИК!$T$5,IF(VLOOKUP(B21,ИСХОДНИК!A:R,18,FALSE())=3,ИСХОДНИК!$T$6)))</f>
        <v>◑</v>
      </c>
    </row>
    <row r="22" spans="2:12" ht="12.75" customHeight="1">
      <c r="B22" s="576"/>
      <c r="C22" s="101" t="s">
        <v>820</v>
      </c>
      <c r="D22" s="101" t="s">
        <v>821</v>
      </c>
      <c r="E22" s="391">
        <v>1</v>
      </c>
      <c r="F22" s="200">
        <v>2</v>
      </c>
      <c r="G22" s="496"/>
      <c r="H22" s="101" t="s">
        <v>829</v>
      </c>
      <c r="I22" s="496"/>
      <c r="J22" s="577"/>
      <c r="K22" s="577"/>
      <c r="L22" s="578"/>
    </row>
    <row r="23" spans="2:12" ht="12.75" customHeight="1">
      <c r="B23" s="576"/>
      <c r="C23" s="101" t="s">
        <v>820</v>
      </c>
      <c r="D23" s="101" t="s">
        <v>821</v>
      </c>
      <c r="E23" s="391">
        <v>1</v>
      </c>
      <c r="F23" s="200">
        <v>3</v>
      </c>
      <c r="G23" s="496"/>
      <c r="H23" s="101" t="s">
        <v>829</v>
      </c>
      <c r="I23" s="496"/>
      <c r="J23" s="577"/>
      <c r="K23" s="577"/>
      <c r="L23" s="578"/>
    </row>
    <row r="24" spans="2:12" ht="12.75" customHeight="1">
      <c r="B24" s="576"/>
      <c r="C24" s="101" t="s">
        <v>820</v>
      </c>
      <c r="D24" s="101" t="s">
        <v>821</v>
      </c>
      <c r="E24" s="391">
        <v>3</v>
      </c>
      <c r="F24" s="200">
        <v>4</v>
      </c>
      <c r="G24" s="496"/>
      <c r="H24" s="101" t="s">
        <v>831</v>
      </c>
      <c r="I24" s="496"/>
      <c r="J24" s="577"/>
      <c r="K24" s="577"/>
      <c r="L24" s="578"/>
    </row>
    <row r="25" spans="2:12" ht="12.75" customHeight="1">
      <c r="B25" s="576"/>
      <c r="C25" s="101" t="s">
        <v>825</v>
      </c>
      <c r="D25" s="101" t="s">
        <v>826</v>
      </c>
      <c r="E25" s="391">
        <v>3</v>
      </c>
      <c r="F25" s="200">
        <v>5</v>
      </c>
      <c r="G25" s="496"/>
      <c r="H25" s="101" t="s">
        <v>831</v>
      </c>
      <c r="I25" s="496"/>
      <c r="J25" s="577"/>
      <c r="K25" s="577"/>
      <c r="L25" s="578"/>
    </row>
    <row r="26" spans="2:12" ht="12.75" customHeight="1">
      <c r="B26" s="576" t="s">
        <v>577</v>
      </c>
      <c r="C26" s="101" t="s">
        <v>820</v>
      </c>
      <c r="D26" s="101" t="s">
        <v>821</v>
      </c>
      <c r="E26" s="391">
        <v>2</v>
      </c>
      <c r="F26" s="200">
        <v>1</v>
      </c>
      <c r="G26" s="496">
        <f>VLOOKUP(B26,ИСХОДНИК!A:P,7,FALSE())</f>
        <v>65</v>
      </c>
      <c r="H26" s="101" t="s">
        <v>828</v>
      </c>
      <c r="I26" s="496" t="str">
        <f>VLOOKUP(B26,ИСХОДНИК!A:P,15,FALSE())</f>
        <v>U6 PL40R</v>
      </c>
      <c r="J26" s="577">
        <f>VLOOKUP(B26,ИСХОДНИК!A:N,13,FALSE())</f>
        <v>58200</v>
      </c>
      <c r="K26" s="577">
        <f>VLOOKUP(B26,ИСХОДНИК!A:N,14,FALSE())</f>
        <v>67512</v>
      </c>
      <c r="L26" s="578" t="str">
        <f>IF(VLOOKUP(B26,ИСХОДНИК!A:R,18,FALSE())=1,ИСХОДНИК!$T$2,IF(VLOOKUP(B26,ИСХОДНИК!A:R,18,FALSE())=2,ИСХОДНИК!$T$5,IF(VLOOKUP(B26,ИСХОДНИК!A:R,18,FALSE())=3,ИСХОДНИК!$T$6)))</f>
        <v>◑</v>
      </c>
    </row>
    <row r="27" spans="2:12" ht="12.75" customHeight="1">
      <c r="B27" s="576"/>
      <c r="C27" s="101" t="s">
        <v>820</v>
      </c>
      <c r="D27" s="101" t="s">
        <v>821</v>
      </c>
      <c r="E27" s="391">
        <v>1</v>
      </c>
      <c r="F27" s="200">
        <v>2</v>
      </c>
      <c r="G27" s="496"/>
      <c r="H27" s="101" t="s">
        <v>828</v>
      </c>
      <c r="I27" s="496"/>
      <c r="J27" s="577"/>
      <c r="K27" s="577"/>
      <c r="L27" s="578"/>
    </row>
    <row r="28" spans="2:12" ht="12.75" customHeight="1">
      <c r="B28" s="576"/>
      <c r="C28" s="101" t="s">
        <v>820</v>
      </c>
      <c r="D28" s="101" t="s">
        <v>821</v>
      </c>
      <c r="E28" s="391">
        <v>1</v>
      </c>
      <c r="F28" s="200">
        <v>3</v>
      </c>
      <c r="G28" s="496"/>
      <c r="H28" s="101" t="s">
        <v>828</v>
      </c>
      <c r="I28" s="496"/>
      <c r="J28" s="577"/>
      <c r="K28" s="577"/>
      <c r="L28" s="578"/>
    </row>
    <row r="29" spans="2:12" ht="12.75" customHeight="1">
      <c r="B29" s="576"/>
      <c r="C29" s="101" t="s">
        <v>820</v>
      </c>
      <c r="D29" s="101" t="s">
        <v>821</v>
      </c>
      <c r="E29" s="391">
        <v>3</v>
      </c>
      <c r="F29" s="200">
        <v>4</v>
      </c>
      <c r="G29" s="496"/>
      <c r="H29" s="101" t="s">
        <v>831</v>
      </c>
      <c r="I29" s="496"/>
      <c r="J29" s="577"/>
      <c r="K29" s="577"/>
      <c r="L29" s="578"/>
    </row>
    <row r="30" spans="2:12" ht="12.75" customHeight="1">
      <c r="B30" s="576"/>
      <c r="C30" s="101" t="s">
        <v>825</v>
      </c>
      <c r="D30" s="101" t="s">
        <v>826</v>
      </c>
      <c r="E30" s="391">
        <v>3</v>
      </c>
      <c r="F30" s="200">
        <v>5</v>
      </c>
      <c r="G30" s="496"/>
      <c r="H30" s="101" t="s">
        <v>831</v>
      </c>
      <c r="I30" s="496"/>
      <c r="J30" s="577"/>
      <c r="K30" s="577"/>
      <c r="L30" s="578"/>
    </row>
    <row r="31" spans="2:12" ht="12.75" customHeight="1">
      <c r="B31" s="570" t="s">
        <v>578</v>
      </c>
      <c r="C31" s="101" t="s">
        <v>820</v>
      </c>
      <c r="D31" s="101" t="s">
        <v>821</v>
      </c>
      <c r="E31" s="391">
        <v>2</v>
      </c>
      <c r="F31" s="200">
        <v>1</v>
      </c>
      <c r="G31" s="496">
        <f>VLOOKUP(B31,ИСХОДНИК!A:P,7,FALSE())</f>
        <v>80</v>
      </c>
      <c r="H31" s="101" t="s">
        <v>828</v>
      </c>
      <c r="I31" s="496" t="str">
        <f>VLOOKUP(B31,ИСХОДНИК!A:P,15,FALSE())</f>
        <v>U6 PL40R</v>
      </c>
      <c r="J31" s="579">
        <f>VLOOKUP(B31,ИСХОДНИК!A:N,13,FALSE())</f>
        <v>83400</v>
      </c>
      <c r="K31" s="579">
        <f>VLOOKUP(B31,ИСХОДНИК!A:N,14,FALSE())</f>
        <v>96744</v>
      </c>
      <c r="L31" s="578" t="str">
        <f>IF(VLOOKUP(B31,ИСХОДНИК!A:R,18,FALSE())=1,ИСХОДНИК!$T$2,IF(VLOOKUP(B31,ИСХОДНИК!A:R,18,FALSE())=2,ИСХОДНИК!$T$5,IF(VLOOKUP(B31,ИСХОДНИК!A:R,18,FALSE())=3,ИСХОДНИК!$T$6)))</f>
        <v>◑</v>
      </c>
    </row>
    <row r="32" spans="2:12" ht="12.75" customHeight="1">
      <c r="B32" s="570"/>
      <c r="C32" s="101" t="s">
        <v>820</v>
      </c>
      <c r="D32" s="101" t="s">
        <v>821</v>
      </c>
      <c r="E32" s="391">
        <v>1</v>
      </c>
      <c r="F32" s="200">
        <v>2</v>
      </c>
      <c r="G32" s="496"/>
      <c r="H32" s="101" t="s">
        <v>828</v>
      </c>
      <c r="I32" s="496"/>
      <c r="J32" s="579"/>
      <c r="K32" s="579"/>
      <c r="L32" s="578"/>
    </row>
    <row r="33" spans="2:12" ht="12.75" customHeight="1">
      <c r="B33" s="570"/>
      <c r="C33" s="101" t="s">
        <v>820</v>
      </c>
      <c r="D33" s="101" t="s">
        <v>821</v>
      </c>
      <c r="E33" s="391">
        <v>1</v>
      </c>
      <c r="F33" s="200">
        <v>3</v>
      </c>
      <c r="G33" s="496"/>
      <c r="H33" s="101" t="s">
        <v>828</v>
      </c>
      <c r="I33" s="496"/>
      <c r="J33" s="579"/>
      <c r="K33" s="579"/>
      <c r="L33" s="578"/>
    </row>
    <row r="34" spans="2:12" ht="12.75" customHeight="1">
      <c r="B34" s="570"/>
      <c r="C34" s="101" t="s">
        <v>820</v>
      </c>
      <c r="D34" s="101" t="s">
        <v>821</v>
      </c>
      <c r="E34" s="391">
        <v>3</v>
      </c>
      <c r="F34" s="200">
        <v>4</v>
      </c>
      <c r="G34" s="496"/>
      <c r="H34" s="101" t="s">
        <v>831</v>
      </c>
      <c r="I34" s="496"/>
      <c r="J34" s="579"/>
      <c r="K34" s="579"/>
      <c r="L34" s="578"/>
    </row>
    <row r="35" spans="2:12" ht="12.75" customHeight="1">
      <c r="B35" s="570"/>
      <c r="C35" s="101" t="s">
        <v>825</v>
      </c>
      <c r="D35" s="101" t="s">
        <v>826</v>
      </c>
      <c r="E35" s="391">
        <v>3</v>
      </c>
      <c r="F35" s="200">
        <v>5</v>
      </c>
      <c r="G35" s="496"/>
      <c r="H35" s="101" t="s">
        <v>831</v>
      </c>
      <c r="I35" s="496"/>
      <c r="J35" s="579"/>
      <c r="K35" s="579"/>
      <c r="L35" s="578"/>
    </row>
    <row r="36" spans="2:12" ht="12.75" customHeight="1">
      <c r="B36" s="570"/>
      <c r="C36" s="101" t="s">
        <v>820</v>
      </c>
      <c r="D36" s="101" t="s">
        <v>832</v>
      </c>
      <c r="E36" s="391">
        <v>1</v>
      </c>
      <c r="F36" s="200">
        <v>6</v>
      </c>
      <c r="G36" s="496"/>
      <c r="H36" s="101" t="s">
        <v>828</v>
      </c>
      <c r="I36" s="496"/>
      <c r="J36" s="579"/>
      <c r="K36" s="579"/>
      <c r="L36" s="578"/>
    </row>
    <row r="37" spans="2:12" ht="12.75" customHeight="1">
      <c r="B37" s="570" t="s">
        <v>579</v>
      </c>
      <c r="C37" s="101" t="s">
        <v>820</v>
      </c>
      <c r="D37" s="101" t="s">
        <v>821</v>
      </c>
      <c r="E37" s="391">
        <v>2</v>
      </c>
      <c r="F37" s="200">
        <v>1</v>
      </c>
      <c r="G37" s="496">
        <f>VLOOKUP(B37,ИСХОДНИК!A:P,7,FALSE())</f>
        <v>100</v>
      </c>
      <c r="H37" s="101" t="s">
        <v>828</v>
      </c>
      <c r="I37" s="496" t="str">
        <f>VLOOKUP(B37,ИСХОДНИК!A:P,15,FALSE())</f>
        <v>U6 PL40R</v>
      </c>
      <c r="J37" s="579">
        <f>VLOOKUP(B37,ИСХОДНИК!A:N,13,FALSE())</f>
        <v>107400</v>
      </c>
      <c r="K37" s="579">
        <f>VLOOKUP(B37,ИСХОДНИК!A:N,14,FALSE())</f>
        <v>124583.99999999999</v>
      </c>
      <c r="L37" s="578" t="str">
        <f>IF(VLOOKUP(B37,ИСХОДНИК!A:R,18,FALSE())=1,ИСХОДНИК!$T$2,IF(VLOOKUP(B37,ИСХОДНИК!A:R,18,FALSE())=2,ИСХОДНИК!$T$5,IF(VLOOKUP(B37,ИСХОДНИК!A:R,18,FALSE())=3,ИСХОДНИК!$T$6)))</f>
        <v>○</v>
      </c>
    </row>
    <row r="38" spans="2:12" ht="12.75" customHeight="1">
      <c r="B38" s="570"/>
      <c r="C38" s="101" t="s">
        <v>820</v>
      </c>
      <c r="D38" s="101" t="s">
        <v>821</v>
      </c>
      <c r="E38" s="391">
        <v>1</v>
      </c>
      <c r="F38" s="200">
        <v>2</v>
      </c>
      <c r="G38" s="496"/>
      <c r="H38" s="101" t="s">
        <v>828</v>
      </c>
      <c r="I38" s="496"/>
      <c r="J38" s="579"/>
      <c r="K38" s="579"/>
      <c r="L38" s="578"/>
    </row>
    <row r="39" spans="2:12" ht="12.75" customHeight="1">
      <c r="B39" s="570"/>
      <c r="C39" s="101" t="s">
        <v>820</v>
      </c>
      <c r="D39" s="101" t="s">
        <v>821</v>
      </c>
      <c r="E39" s="391">
        <v>1</v>
      </c>
      <c r="F39" s="200">
        <v>3</v>
      </c>
      <c r="G39" s="496"/>
      <c r="H39" s="101" t="s">
        <v>828</v>
      </c>
      <c r="I39" s="496"/>
      <c r="J39" s="579"/>
      <c r="K39" s="579"/>
      <c r="L39" s="578"/>
    </row>
    <row r="40" spans="2:12" ht="12.75" customHeight="1">
      <c r="B40" s="570"/>
      <c r="C40" s="101" t="s">
        <v>820</v>
      </c>
      <c r="D40" s="101" t="s">
        <v>821</v>
      </c>
      <c r="E40" s="391">
        <v>3</v>
      </c>
      <c r="F40" s="200">
        <v>4</v>
      </c>
      <c r="G40" s="496"/>
      <c r="H40" s="101" t="s">
        <v>831</v>
      </c>
      <c r="I40" s="496"/>
      <c r="J40" s="579"/>
      <c r="K40" s="579"/>
      <c r="L40" s="578"/>
    </row>
    <row r="41" spans="2:12" ht="12.75" customHeight="1">
      <c r="B41" s="570"/>
      <c r="C41" s="101" t="s">
        <v>825</v>
      </c>
      <c r="D41" s="101" t="s">
        <v>826</v>
      </c>
      <c r="E41" s="391">
        <v>3</v>
      </c>
      <c r="F41" s="200">
        <v>5</v>
      </c>
      <c r="G41" s="496"/>
      <c r="H41" s="101" t="s">
        <v>831</v>
      </c>
      <c r="I41" s="496"/>
      <c r="J41" s="579"/>
      <c r="K41" s="579"/>
      <c r="L41" s="578"/>
    </row>
    <row r="42" spans="2:12" ht="12.75" customHeight="1">
      <c r="B42" s="570"/>
      <c r="C42" s="101" t="s">
        <v>820</v>
      </c>
      <c r="D42" s="101" t="s">
        <v>832</v>
      </c>
      <c r="E42" s="391">
        <v>1</v>
      </c>
      <c r="F42" s="200">
        <v>6</v>
      </c>
      <c r="G42" s="496"/>
      <c r="H42" s="101" t="s">
        <v>828</v>
      </c>
      <c r="I42" s="496"/>
      <c r="J42" s="579"/>
      <c r="K42" s="579"/>
      <c r="L42" s="578"/>
    </row>
    <row r="43" spans="2:12" ht="19.5" customHeight="1">
      <c r="B43" s="97" t="s">
        <v>555</v>
      </c>
      <c r="C43" s="280" t="s">
        <v>833</v>
      </c>
      <c r="D43" s="101"/>
      <c r="E43" s="391">
        <v>1</v>
      </c>
      <c r="F43" s="200">
        <v>6</v>
      </c>
      <c r="G43" s="392" t="s">
        <v>834</v>
      </c>
      <c r="H43" s="101" t="s">
        <v>828</v>
      </c>
      <c r="I43" s="105" t="str">
        <f>VLOOKUP(B43,ИСХОДНИК!A:P,15,FALSE())</f>
        <v>U6 PL40R</v>
      </c>
      <c r="J43" s="393">
        <f>VLOOKUP(B43,ИСХОДНИК!A:N,13,FALSE())</f>
        <v>27000</v>
      </c>
      <c r="K43" s="393">
        <f>VLOOKUP(B43,ИСХОДНИК!A:N,14,FALSE())</f>
        <v>31319.999999999996</v>
      </c>
      <c r="L43" s="104" t="str">
        <f>IF(VLOOKUP(B43,ИСХОДНИК!A:R,18,FALSE())=1,ИСХОДНИК!$T$2,IF(VLOOKUP(B43,ИСХОДНИК!A:R,18,FALSE())=2,ИСХОДНИК!$T$5,IF(VLOOKUP(B43,ИСХОДНИК!A:R,18,FALSE())=3,ИСХОДНИК!$T$6)))</f>
        <v>◑</v>
      </c>
    </row>
    <row r="44" spans="2:12" ht="17.25" customHeight="1">
      <c r="B44" s="97" t="s">
        <v>557</v>
      </c>
      <c r="C44" s="280" t="s">
        <v>833</v>
      </c>
      <c r="D44" s="101"/>
      <c r="E44" s="391">
        <v>1</v>
      </c>
      <c r="F44" s="200">
        <v>6</v>
      </c>
      <c r="G44" s="392" t="s">
        <v>835</v>
      </c>
      <c r="H44" s="101" t="s">
        <v>828</v>
      </c>
      <c r="I44" s="105" t="str">
        <f>VLOOKUP(B44,ИСХОДНИК!A:P,15,FALSE())</f>
        <v>U6 PL40R</v>
      </c>
      <c r="J44" s="393">
        <f>VLOOKUP(B44,ИСХОДНИК!A:N,13,FALSE())</f>
        <v>36000</v>
      </c>
      <c r="K44" s="393">
        <f>VLOOKUP(B44,ИСХОДНИК!A:N,14,FALSE())</f>
        <v>41760</v>
      </c>
      <c r="L44" s="104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2" ht="15.75" customHeight="1">
      <c r="B45" s="97" t="s">
        <v>836</v>
      </c>
      <c r="C45" s="280" t="s">
        <v>833</v>
      </c>
      <c r="D45" s="101"/>
      <c r="E45" s="391">
        <v>1</v>
      </c>
      <c r="F45" s="200">
        <v>6</v>
      </c>
      <c r="G45" s="392">
        <v>125</v>
      </c>
      <c r="H45" s="101" t="s">
        <v>828</v>
      </c>
      <c r="I45" s="105" t="str">
        <f>VLOOKUP(B45,ИСХОДНИК!A:P,15,FALSE())</f>
        <v>U6 PL40R</v>
      </c>
      <c r="J45" s="393">
        <f>VLOOKUP(B45,ИСХОДНИК!A:N,13,FALSE())</f>
        <v>45000</v>
      </c>
      <c r="K45" s="393">
        <f>VLOOKUP(B45,ИСХОДНИК!A:N,14,FALSE())</f>
        <v>52200</v>
      </c>
      <c r="L45" s="104" t="str">
        <f>IF(VLOOKUP(B45,ИСХОДНИК!A:R,18,FALSE())=1,ИСХОДНИК!$T$2,IF(VLOOKUP(B45,ИСХОДНИК!A:R,18,FALSE())=2,ИСХОДНИК!$T$5,IF(VLOOKUP(B45,ИСХОДНИК!A:R,18,FALSE())=3,ИСХОДНИК!$T$6)))</f>
        <v>◑</v>
      </c>
    </row>
    <row r="46" spans="2:12" ht="13.5">
      <c r="B46" s="570" t="s">
        <v>649</v>
      </c>
      <c r="C46" s="101" t="s">
        <v>820</v>
      </c>
      <c r="D46" s="101" t="s">
        <v>821</v>
      </c>
      <c r="E46" s="391">
        <v>10</v>
      </c>
      <c r="F46" s="394">
        <v>4</v>
      </c>
      <c r="G46" s="506"/>
      <c r="H46" s="495" t="s">
        <v>837</v>
      </c>
      <c r="I46" s="496" t="str">
        <f>VLOOKUP(B46,ИСХОДНИК!A:P,15,FALSE())</f>
        <v>U6 PL40R</v>
      </c>
      <c r="J46" s="579">
        <f>VLOOKUP(B46,ИСХОДНИК!A:N,13,FALSE())</f>
        <v>22200</v>
      </c>
      <c r="K46" s="579">
        <f>VLOOKUP(B46,ИСХОДНИК!A:N,14,FALSE())</f>
        <v>25752</v>
      </c>
      <c r="L46" s="578" t="str">
        <f>IF(VLOOKUP(B46,ИСХОДНИК!A:R,18,FALSE())=1,ИСХОДНИК!$T$2,IF(VLOOKUP(B46,ИСХОДНИК!A:R,18,FALSE())=2,ИСХОДНИК!$T$5,IF(VLOOKUP(B46,ИСХОДНИК!A:R,18,FALSE())=3,ИСХОДНИК!$T$6)))</f>
        <v>◑</v>
      </c>
    </row>
    <row r="47" spans="2:12" ht="13.5">
      <c r="B47" s="570"/>
      <c r="C47" s="101" t="s">
        <v>825</v>
      </c>
      <c r="D47" s="101" t="s">
        <v>826</v>
      </c>
      <c r="E47" s="391">
        <v>10</v>
      </c>
      <c r="F47" s="394">
        <v>5</v>
      </c>
      <c r="G47" s="506"/>
      <c r="H47" s="495"/>
      <c r="I47" s="496"/>
      <c r="J47" s="579"/>
      <c r="K47" s="579"/>
      <c r="L47" s="578"/>
    </row>
    <row r="48" spans="2:12" ht="13">
      <c r="E48" s="62"/>
      <c r="F48" s="395"/>
      <c r="H48" s="62"/>
    </row>
    <row r="49" spans="2:13" ht="15.75" customHeight="1">
      <c r="B49" s="580" t="s">
        <v>838</v>
      </c>
      <c r="C49" s="580"/>
      <c r="D49" s="580"/>
      <c r="E49" s="580"/>
      <c r="F49" s="580"/>
      <c r="G49" s="580"/>
      <c r="H49" s="580"/>
      <c r="I49" s="580"/>
      <c r="J49" s="580"/>
      <c r="K49" s="580"/>
      <c r="L49" s="580"/>
      <c r="M49" s="107"/>
    </row>
    <row r="50" spans="2:13" ht="39.5">
      <c r="B50" s="95" t="s">
        <v>200</v>
      </c>
      <c r="C50" s="95" t="s">
        <v>2</v>
      </c>
      <c r="D50" s="95" t="s">
        <v>817</v>
      </c>
      <c r="E50" s="95" t="s">
        <v>76</v>
      </c>
      <c r="F50" s="208" t="s">
        <v>201</v>
      </c>
      <c r="G50" s="95" t="s">
        <v>839</v>
      </c>
      <c r="H50" s="95" t="s">
        <v>819</v>
      </c>
      <c r="I50" s="95" t="s">
        <v>67</v>
      </c>
      <c r="J50" s="94" t="s">
        <v>74</v>
      </c>
      <c r="K50" s="94" t="s">
        <v>75</v>
      </c>
      <c r="L50" s="209" t="s">
        <v>55</v>
      </c>
      <c r="M50" s="396" t="s">
        <v>840</v>
      </c>
    </row>
    <row r="51" spans="2:13" ht="23.25" customHeight="1">
      <c r="B51" s="97" t="s">
        <v>202</v>
      </c>
      <c r="C51" s="280" t="s">
        <v>820</v>
      </c>
      <c r="D51" s="280" t="s">
        <v>821</v>
      </c>
      <c r="E51" s="391">
        <v>10</v>
      </c>
      <c r="F51" s="105">
        <v>7</v>
      </c>
      <c r="G51" s="105" t="str">
        <f>VLOOKUP(B51,ИСХОДНИК!A:P,7,FALSE())</f>
        <v>15-25</v>
      </c>
      <c r="H51" s="98" t="s">
        <v>841</v>
      </c>
      <c r="I51" s="392" t="str">
        <f>VLOOKUP(B51,ИСХОДНИК!A:P,15,FALSE())</f>
        <v>U6 PL40R</v>
      </c>
      <c r="J51" s="210">
        <f>VLOOKUP(B51,ИСХОДНИК!A:N,13,FALSE())</f>
        <v>7200</v>
      </c>
      <c r="K51" s="210">
        <f>VLOOKUP(B51,ИСХОДНИК!A:N,14,FALSE())</f>
        <v>8352</v>
      </c>
      <c r="L51" s="104" t="str">
        <f>IF(VLOOKUP(B51,ИСХОДНИК!A:R,18,FALSE())=1,ИСХОДНИК!$T$2,IF(VLOOKUP(B51,ИСХОДНИК!A:R,18,FALSE())=2,ИСХОДНИК!$T$5,IF(VLOOKUP(B51,ИСХОДНИК!A:R,18,FALSE())=3,ИСХОДНИК!$T$6)))</f>
        <v>◑</v>
      </c>
      <c r="M51" s="506"/>
    </row>
    <row r="52" spans="2:13" ht="23.25" customHeight="1">
      <c r="B52" s="97" t="s">
        <v>203</v>
      </c>
      <c r="C52" s="280" t="s">
        <v>820</v>
      </c>
      <c r="D52" s="280" t="s">
        <v>821</v>
      </c>
      <c r="E52" s="391">
        <v>10</v>
      </c>
      <c r="F52" s="105">
        <v>7</v>
      </c>
      <c r="G52" s="105" t="str">
        <f>VLOOKUP(B52,ИСХОДНИК!A:P,7,FALSE())</f>
        <v>32-40</v>
      </c>
      <c r="H52" s="98" t="s">
        <v>841</v>
      </c>
      <c r="I52" s="392" t="str">
        <f>VLOOKUP(B52,ИСХОДНИК!A:P,15,FALSE())</f>
        <v>U6 PL40R</v>
      </c>
      <c r="J52" s="210">
        <f>VLOOKUP(B52,ИСХОДНИК!A:N,13,FALSE())</f>
        <v>9000</v>
      </c>
      <c r="K52" s="210">
        <f>VLOOKUP(B52,ИСХОДНИК!A:N,14,FALSE())</f>
        <v>10440</v>
      </c>
      <c r="L52" s="104" t="str">
        <f>IF(VLOOKUP(B52,ИСХОДНИК!A:R,18,FALSE())=1,ИСХОДНИК!$T$2,IF(VLOOKUP(B52,ИСХОДНИК!A:R,18,FALSE())=2,ИСХОДНИК!$T$5,IF(VLOOKUP(B52,ИСХОДНИК!A:R,18,FALSE())=3,ИСХОДНИК!$T$6)))</f>
        <v>◑</v>
      </c>
      <c r="M52" s="506"/>
    </row>
    <row r="53" spans="2:13" ht="23.25" customHeight="1">
      <c r="B53" s="97" t="s">
        <v>204</v>
      </c>
      <c r="C53" s="280" t="s">
        <v>820</v>
      </c>
      <c r="D53" s="280" t="s">
        <v>821</v>
      </c>
      <c r="E53" s="391">
        <v>10</v>
      </c>
      <c r="F53" s="105">
        <v>7</v>
      </c>
      <c r="G53" s="105">
        <f>VLOOKUP(B53,ИСХОДНИК!A:P,7,FALSE())</f>
        <v>50</v>
      </c>
      <c r="H53" s="98" t="s">
        <v>841</v>
      </c>
      <c r="I53" s="392" t="str">
        <f>VLOOKUP(B53,ИСХОДНИК!A:P,15,FALSE())</f>
        <v>U6 PL40R</v>
      </c>
      <c r="J53" s="210">
        <f>VLOOKUP(B53,ИСХОДНИК!A:N,13,FALSE())</f>
        <v>14400</v>
      </c>
      <c r="K53" s="210">
        <f>VLOOKUP(B53,ИСХОДНИК!A:N,14,FALSE())</f>
        <v>16704</v>
      </c>
      <c r="L53" s="104" t="str">
        <f>IF(VLOOKUP(B53,ИСХОДНИК!A:R,18,FALSE())=1,ИСХОДНИК!$T$2,IF(VLOOKUP(B53,ИСХОДНИК!A:R,18,FALSE())=2,ИСХОДНИК!$T$5,IF(VLOOKUP(B53,ИСХОДНИК!A:R,18,FALSE())=3,ИСХОДНИК!$T$6)))</f>
        <v>◑</v>
      </c>
      <c r="M53" s="506"/>
    </row>
    <row r="54" spans="2:13" ht="23.25" customHeight="1">
      <c r="B54" s="97" t="s">
        <v>205</v>
      </c>
      <c r="C54" s="280" t="s">
        <v>820</v>
      </c>
      <c r="D54" s="280" t="s">
        <v>821</v>
      </c>
      <c r="E54" s="391">
        <v>10</v>
      </c>
      <c r="F54" s="105">
        <v>7</v>
      </c>
      <c r="G54" s="105">
        <f>VLOOKUP(B54,ИСХОДНИК!A:P,7,FALSE())</f>
        <v>65</v>
      </c>
      <c r="H54" s="98" t="s">
        <v>841</v>
      </c>
      <c r="I54" s="392" t="str">
        <f>VLOOKUP(B54,ИСХОДНИК!A:P,15,FALSE())</f>
        <v>U6 PL40R</v>
      </c>
      <c r="J54" s="210">
        <f>VLOOKUP(B54,ИСХОДНИК!A:N,13,FALSE())</f>
        <v>18000</v>
      </c>
      <c r="K54" s="210">
        <f>VLOOKUP(B54,ИСХОДНИК!A:N,14,FALSE())</f>
        <v>20880</v>
      </c>
      <c r="L54" s="104" t="str">
        <f>IF(VLOOKUP(B54,ИСХОДНИК!A:R,18,FALSE())=1,ИСХОДНИК!$T$2,IF(VLOOKUP(B54,ИСХОДНИК!A:R,18,FALSE())=2,ИСХОДНИК!$T$5,IF(VLOOKUP(B54,ИСХОДНИК!A:R,18,FALSE())=3,ИСХОДНИК!$T$6)))</f>
        <v>◑</v>
      </c>
      <c r="M54" s="506"/>
    </row>
    <row r="55" spans="2:13" ht="23.25" customHeight="1">
      <c r="B55" s="97" t="s">
        <v>206</v>
      </c>
      <c r="C55" s="280" t="s">
        <v>820</v>
      </c>
      <c r="D55" s="280" t="s">
        <v>821</v>
      </c>
      <c r="E55" s="391">
        <v>10</v>
      </c>
      <c r="F55" s="105">
        <v>7</v>
      </c>
      <c r="G55" s="105">
        <f>VLOOKUP(B55,ИСХОДНИК!A:P,7,FALSE())</f>
        <v>80</v>
      </c>
      <c r="H55" s="98" t="s">
        <v>841</v>
      </c>
      <c r="I55" s="392" t="str">
        <f>VLOOKUP(B55,ИСХОДНИК!A:P,15,FALSE())</f>
        <v>U6 PL40R</v>
      </c>
      <c r="J55" s="210">
        <f>VLOOKUP(B55,ИСХОДНИК!A:N,13,FALSE())</f>
        <v>27000</v>
      </c>
      <c r="K55" s="210">
        <f>VLOOKUP(B55,ИСХОДНИК!A:N,14,FALSE())</f>
        <v>31319.999999999996</v>
      </c>
      <c r="L55" s="104" t="str">
        <f>IF(VLOOKUP(B55,ИСХОДНИК!A:R,18,FALSE())=1,ИСХОДНИК!$T$2,IF(VLOOKUP(B55,ИСХОДНИК!A:R,18,FALSE())=2,ИСХОДНИК!$T$5,IF(VLOOKUP(B55,ИСХОДНИК!A:R,18,FALSE())=3,ИСХОДНИК!$T$6)))</f>
        <v>◑</v>
      </c>
      <c r="M55" s="506"/>
    </row>
    <row r="56" spans="2:13" ht="23.25" customHeight="1">
      <c r="B56" s="97" t="s">
        <v>207</v>
      </c>
      <c r="C56" s="280" t="s">
        <v>820</v>
      </c>
      <c r="D56" s="280" t="s">
        <v>821</v>
      </c>
      <c r="E56" s="391">
        <v>10</v>
      </c>
      <c r="F56" s="105">
        <v>7</v>
      </c>
      <c r="G56" s="105">
        <f>VLOOKUP(B56,ИСХОДНИК!A:P,7,FALSE())</f>
        <v>100</v>
      </c>
      <c r="H56" s="98" t="s">
        <v>842</v>
      </c>
      <c r="I56" s="392" t="str">
        <f>VLOOKUP(B56,ИСХОДНИК!A:P,15,FALSE())</f>
        <v>U6 PL40R</v>
      </c>
      <c r="J56" s="210">
        <f>VLOOKUP(B56,ИСХОДНИК!A:N,13,FALSE())</f>
        <v>36000</v>
      </c>
      <c r="K56" s="210">
        <f>VLOOKUP(B56,ИСХОДНИК!A:N,14,FALSE())</f>
        <v>41760</v>
      </c>
      <c r="L56" s="104" t="str">
        <f>IF(VLOOKUP(B56,ИСХОДНИК!A:R,18,FALSE())=1,ИСХОДНИК!$T$2,IF(VLOOKUP(B56,ИСХОДНИК!A:R,18,FALSE())=2,ИСХОДНИК!$T$5,IF(VLOOKUP(B56,ИСХОДНИК!A:R,18,FALSE())=3,ИСХОДНИК!$T$6)))</f>
        <v>◑</v>
      </c>
      <c r="M56" s="506"/>
    </row>
    <row r="57" spans="2:13" ht="23.25" customHeight="1">
      <c r="B57" s="97" t="s">
        <v>208</v>
      </c>
      <c r="C57" s="280" t="s">
        <v>820</v>
      </c>
      <c r="D57" s="280" t="s">
        <v>821</v>
      </c>
      <c r="E57" s="391">
        <v>10</v>
      </c>
      <c r="F57" s="105">
        <v>7</v>
      </c>
      <c r="G57" s="105">
        <f>VLOOKUP(B57,ИСХОДНИК!A:P,7,FALSE())</f>
        <v>125</v>
      </c>
      <c r="H57" s="98" t="s">
        <v>842</v>
      </c>
      <c r="I57" s="392" t="str">
        <f>VLOOKUP(B57,ИСХОДНИК!A:P,15,FALSE())</f>
        <v>U6 PL40R</v>
      </c>
      <c r="J57" s="210">
        <f>VLOOKUP(B57,ИСХОДНИК!A:N,13,FALSE())</f>
        <v>63000</v>
      </c>
      <c r="K57" s="210">
        <f>VLOOKUP(B57,ИСХОДНИК!A:N,14,FALSE())</f>
        <v>73080</v>
      </c>
      <c r="L57" s="104" t="str">
        <f>IF(VLOOKUP(B57,ИСХОДНИК!A:R,18,FALSE())=1,ИСХОДНИК!$T$2,IF(VLOOKUP(B57,ИСХОДНИК!A:R,18,FALSE())=2,ИСХОДНИК!$T$5,IF(VLOOKUP(B57,ИСХОДНИК!A:R,18,FALSE())=3,ИСХОДНИК!$T$6)))</f>
        <v>◑</v>
      </c>
      <c r="M57" s="506"/>
    </row>
    <row r="58" spans="2:13" ht="23.25" customHeight="1">
      <c r="B58" s="97" t="s">
        <v>209</v>
      </c>
      <c r="C58" s="280" t="s">
        <v>820</v>
      </c>
      <c r="D58" s="280" t="s">
        <v>821</v>
      </c>
      <c r="E58" s="391">
        <v>10</v>
      </c>
      <c r="F58" s="105">
        <v>7</v>
      </c>
      <c r="G58" s="105">
        <f>VLOOKUP(B58,ИСХОДНИК!A:P,7,FALSE())</f>
        <v>150</v>
      </c>
      <c r="H58" s="98" t="s">
        <v>842</v>
      </c>
      <c r="I58" s="392" t="str">
        <f>VLOOKUP(B58,ИСХОДНИК!A:P,15,FALSE())</f>
        <v>U6 PL40R</v>
      </c>
      <c r="J58" s="210">
        <f>VLOOKUP(B58,ИСХОДНИК!A:N,13,FALSE())</f>
        <v>95400</v>
      </c>
      <c r="K58" s="210">
        <f>VLOOKUP(B58,ИСХОДНИК!A:N,14,FALSE())</f>
        <v>110663.99999999999</v>
      </c>
      <c r="L58" s="104" t="str">
        <f>IF(VLOOKUP(B58,ИСХОДНИК!A:R,18,FALSE())=1,ИСХОДНИК!$T$2,IF(VLOOKUP(B58,ИСХОДНИК!A:R,18,FALSE())=2,ИСХОДНИК!$T$5,IF(VLOOKUP(B58,ИСХОДНИК!A:R,18,FALSE())=3,ИСХОДНИК!$T$6)))</f>
        <v>◑</v>
      </c>
      <c r="M58" s="506"/>
    </row>
    <row r="59" spans="2:13" ht="23.25" customHeight="1">
      <c r="B59" s="97" t="s">
        <v>210</v>
      </c>
      <c r="C59" s="280" t="s">
        <v>820</v>
      </c>
      <c r="D59" s="280" t="s">
        <v>821</v>
      </c>
      <c r="E59" s="391">
        <v>10</v>
      </c>
      <c r="F59" s="105">
        <v>7</v>
      </c>
      <c r="G59" s="105">
        <f>VLOOKUP(B59,ИСХОДНИК!A:P,7,FALSE())</f>
        <v>200</v>
      </c>
      <c r="H59" s="98" t="s">
        <v>843</v>
      </c>
      <c r="I59" s="392" t="str">
        <f>VLOOKUP(B59,ИСХОДНИК!A:P,15,FALSE())</f>
        <v>U6 PL40R</v>
      </c>
      <c r="J59" s="210">
        <f>VLOOKUP(B59,ИСХОДНИК!A:N,13,FALSE())</f>
        <v>141000</v>
      </c>
      <c r="K59" s="210">
        <f>VLOOKUP(B59,ИСХОДНИК!A:N,14,FALSE())</f>
        <v>163560</v>
      </c>
      <c r="L59" s="397" t="str">
        <f>IF(VLOOKUP(B59,ИСХОДНИК!A:R,18,FALSE())=1,ИСХОДНИК!$T$2,IF(VLOOKUP(B59,ИСХОДНИК!A:R,18,FALSE())=2,ИСХОДНИК!$T$5,IF(VLOOKUP(B59,ИСХОДНИК!A:R,18,FALSE())=3,ИСХОДНИК!$T$6)))</f>
        <v>◑</v>
      </c>
      <c r="M59" s="506"/>
    </row>
    <row r="60" spans="2:13" ht="23.25" customHeight="1">
      <c r="B60" s="97" t="s">
        <v>211</v>
      </c>
      <c r="C60" s="280" t="s">
        <v>820</v>
      </c>
      <c r="D60" s="280" t="s">
        <v>821</v>
      </c>
      <c r="E60" s="391">
        <v>10</v>
      </c>
      <c r="F60" s="105">
        <v>7</v>
      </c>
      <c r="G60" s="105">
        <f>VLOOKUP(B60,ИСХОДНИК!A:P,7,FALSE())</f>
        <v>250</v>
      </c>
      <c r="H60" s="98" t="s">
        <v>843</v>
      </c>
      <c r="I60" s="392" t="str">
        <f>VLOOKUP(B60,ИСХОДНИК!A:P,15,FALSE())</f>
        <v>U6 PL40R</v>
      </c>
      <c r="J60" s="210">
        <f>VLOOKUP(B60,ИСХОДНИК!A:N,13,FALSE())</f>
        <v>210000</v>
      </c>
      <c r="K60" s="210">
        <f>VLOOKUP(B60,ИСХОДНИК!A:N,14,FALSE())</f>
        <v>243599.99999999997</v>
      </c>
      <c r="L60" s="397" t="str">
        <f>IF(VLOOKUP(B60,ИСХОДНИК!A:R,18,FALSE())=1,ИСХОДНИК!$T$2,IF(VLOOKUP(B60,ИСХОДНИК!A:R,18,FALSE())=2,ИСХОДНИК!$T$5,IF(VLOOKUP(B60,ИСХОДНИК!A:R,18,FALSE())=3,ИСХОДНИК!$T$6)))</f>
        <v>◑</v>
      </c>
      <c r="M60" s="506"/>
    </row>
    <row r="61" spans="2:13" ht="23.25" customHeight="1">
      <c r="B61" s="97" t="s">
        <v>212</v>
      </c>
      <c r="C61" s="280" t="s">
        <v>820</v>
      </c>
      <c r="D61" s="280" t="s">
        <v>821</v>
      </c>
      <c r="E61" s="391">
        <v>10</v>
      </c>
      <c r="F61" s="105">
        <v>7</v>
      </c>
      <c r="G61" s="105">
        <f>VLOOKUP(B61,ИСХОДНИК!A:P,7,FALSE())</f>
        <v>300</v>
      </c>
      <c r="H61" s="98" t="s">
        <v>844</v>
      </c>
      <c r="I61" s="105" t="str">
        <f>VLOOKUP(B61,ИСХОДНИК!A:P,15,FALSE())</f>
        <v>U6 PL40R</v>
      </c>
      <c r="J61" s="210">
        <f>VLOOKUP(B61,ИСХОДНИК!A:N,13,FALSE())</f>
        <v>282000</v>
      </c>
      <c r="K61" s="210">
        <f>VLOOKUP(B61,ИСХОДНИК!A:N,14,FALSE())</f>
        <v>327120</v>
      </c>
      <c r="L61" s="397" t="str">
        <f>IF(VLOOKUP(B61,ИСХОДНИК!A:R,18,FALSE())=1,ИСХОДНИК!$T$2,IF(VLOOKUP(B61,ИСХОДНИК!A:R,18,FALSE())=2,ИСХОДНИК!$T$5,IF(VLOOKUP(B61,ИСХОДНИК!A:R,18,FALSE())=3,ИСХОДНИК!$T$6)))</f>
        <v>◑</v>
      </c>
      <c r="M61" s="506"/>
    </row>
    <row r="62" spans="2:13" ht="13">
      <c r="E62" s="62"/>
      <c r="G62" s="62"/>
      <c r="H62" s="388"/>
    </row>
    <row r="63" spans="2:13" ht="13.5">
      <c r="B63" s="580" t="s">
        <v>845</v>
      </c>
      <c r="C63" s="580"/>
      <c r="D63" s="580"/>
      <c r="E63" s="580"/>
      <c r="F63" s="580"/>
      <c r="G63" s="580"/>
      <c r="H63" s="580"/>
      <c r="I63" s="580"/>
      <c r="J63" s="580"/>
      <c r="K63" s="580"/>
      <c r="L63" s="580"/>
      <c r="M63" s="107"/>
    </row>
    <row r="64" spans="2:13" ht="39.5">
      <c r="B64" s="208" t="s">
        <v>200</v>
      </c>
      <c r="C64" s="208" t="s">
        <v>2</v>
      </c>
      <c r="D64" s="208" t="s">
        <v>817</v>
      </c>
      <c r="E64" s="208" t="s">
        <v>76</v>
      </c>
      <c r="F64" s="208" t="s">
        <v>846</v>
      </c>
      <c r="G64" s="208" t="s">
        <v>839</v>
      </c>
      <c r="H64" s="208" t="s">
        <v>819</v>
      </c>
      <c r="I64" s="208" t="s">
        <v>67</v>
      </c>
      <c r="J64" s="398" t="s">
        <v>74</v>
      </c>
      <c r="K64" s="398" t="s">
        <v>75</v>
      </c>
      <c r="L64" s="242" t="s">
        <v>55</v>
      </c>
      <c r="M64" s="396" t="s">
        <v>840</v>
      </c>
    </row>
    <row r="65" spans="2:13" ht="13.5">
      <c r="B65" s="570" t="s">
        <v>213</v>
      </c>
      <c r="C65" s="101" t="s">
        <v>847</v>
      </c>
      <c r="D65" s="101" t="s">
        <v>832</v>
      </c>
      <c r="E65" s="391">
        <v>10</v>
      </c>
      <c r="F65" s="200">
        <v>8</v>
      </c>
      <c r="G65" s="496" t="str">
        <f>VLOOKUP(B65,ИСХОДНИК!A:P,7,FALSE())</f>
        <v>15-25</v>
      </c>
      <c r="H65" s="495" t="s">
        <v>848</v>
      </c>
      <c r="I65" s="496" t="str">
        <f>VLOOKUP(B65,ИСХОДНИК!A:P,15,FALSE())</f>
        <v>U6 PL40R</v>
      </c>
      <c r="J65" s="579">
        <f>VLOOKUP(B65,ИСХОДНИК!A:N,13,FALSE())</f>
        <v>90000</v>
      </c>
      <c r="K65" s="579">
        <f>VLOOKUP(B65,ИСХОДНИК!A:N,14,FALSE())</f>
        <v>104400</v>
      </c>
      <c r="L65" s="578" t="str">
        <f>IF(VLOOKUP(B65,ИСХОДНИК!A:R,18,FALSE())=1,ИСХОДНИК!$T$2,IF(VLOOKUP(B65,ИСХОДНИК!A:R,18,FALSE())=2,ИСХОДНИК!$T$5,IF(VLOOKUP(B65,ИСХОДНИК!A:R,18,FALSE())=3,ИСХОДНИК!$T$6)))</f>
        <v>◑</v>
      </c>
      <c r="M65" s="506"/>
    </row>
    <row r="66" spans="2:13" ht="13.5">
      <c r="B66" s="570"/>
      <c r="C66" s="101" t="s">
        <v>849</v>
      </c>
      <c r="D66" s="101" t="s">
        <v>850</v>
      </c>
      <c r="E66" s="391">
        <v>10</v>
      </c>
      <c r="F66" s="200">
        <v>9</v>
      </c>
      <c r="G66" s="496"/>
      <c r="H66" s="495"/>
      <c r="I66" s="496"/>
      <c r="J66" s="579"/>
      <c r="K66" s="579"/>
      <c r="L66" s="578"/>
      <c r="M66" s="506"/>
    </row>
    <row r="67" spans="2:13" ht="13.5">
      <c r="B67" s="570"/>
      <c r="C67" s="101" t="s">
        <v>820</v>
      </c>
      <c r="D67" s="101" t="s">
        <v>832</v>
      </c>
      <c r="E67" s="391">
        <v>10</v>
      </c>
      <c r="F67" s="200">
        <v>10</v>
      </c>
      <c r="G67" s="496"/>
      <c r="H67" s="495"/>
      <c r="I67" s="496"/>
      <c r="J67" s="579"/>
      <c r="K67" s="579"/>
      <c r="L67" s="578"/>
      <c r="M67" s="506"/>
    </row>
    <row r="68" spans="2:13" ht="12.75" customHeight="1">
      <c r="B68" s="570" t="s">
        <v>215</v>
      </c>
      <c r="C68" s="101" t="s">
        <v>847</v>
      </c>
      <c r="D68" s="101" t="s">
        <v>832</v>
      </c>
      <c r="E68" s="391">
        <v>10</v>
      </c>
      <c r="F68" s="200">
        <v>8</v>
      </c>
      <c r="G68" s="496" t="str">
        <f>VLOOKUP(B68,ИСХОДНИК!A:P,7,FALSE())</f>
        <v>32-50</v>
      </c>
      <c r="H68" s="495" t="s">
        <v>848</v>
      </c>
      <c r="I68" s="496" t="str">
        <f>VLOOKUP(B68,ИСХОДНИК!A:P,15,FALSE())</f>
        <v>U6 PL40R</v>
      </c>
      <c r="J68" s="579">
        <f>VLOOKUP(B68,ИСХОДНИК!A:N,13,FALSE())</f>
        <v>153000</v>
      </c>
      <c r="K68" s="579">
        <f>VLOOKUP(B68,ИСХОДНИК!A:N,14,FALSE())</f>
        <v>177480</v>
      </c>
      <c r="L68" s="578" t="str">
        <f>IF(VLOOKUP(B68,ИСХОДНИК!A:R,18,FALSE())=1,ИСХОДНИК!$T$2,IF(VLOOKUP(B68,ИСХОДНИК!A:R,18,FALSE())=2,ИСХОДНИК!$T$5,IF(VLOOKUP(B68,ИСХОДНИК!A:R,18,FALSE())=3,ИСХОДНИК!$T$6)))</f>
        <v>◑</v>
      </c>
      <c r="M68" s="506"/>
    </row>
    <row r="69" spans="2:13" ht="12.75" customHeight="1">
      <c r="B69" s="570"/>
      <c r="C69" s="101" t="s">
        <v>849</v>
      </c>
      <c r="D69" s="101" t="s">
        <v>850</v>
      </c>
      <c r="E69" s="391">
        <v>10</v>
      </c>
      <c r="F69" s="200">
        <v>9</v>
      </c>
      <c r="G69" s="496"/>
      <c r="H69" s="495"/>
      <c r="I69" s="496"/>
      <c r="J69" s="579"/>
      <c r="K69" s="579"/>
      <c r="L69" s="578"/>
      <c r="M69" s="506"/>
    </row>
    <row r="70" spans="2:13" ht="12.75" customHeight="1">
      <c r="B70" s="570"/>
      <c r="C70" s="101" t="s">
        <v>820</v>
      </c>
      <c r="D70" s="101" t="s">
        <v>832</v>
      </c>
      <c r="E70" s="391">
        <v>10</v>
      </c>
      <c r="F70" s="200">
        <v>10</v>
      </c>
      <c r="G70" s="496"/>
      <c r="H70" s="495"/>
      <c r="I70" s="496"/>
      <c r="J70" s="579"/>
      <c r="K70" s="579"/>
      <c r="L70" s="578"/>
      <c r="M70" s="506"/>
    </row>
    <row r="71" spans="2:13" ht="12.75" customHeight="1">
      <c r="B71" s="570" t="s">
        <v>216</v>
      </c>
      <c r="C71" s="101" t="s">
        <v>847</v>
      </c>
      <c r="D71" s="101" t="s">
        <v>832</v>
      </c>
      <c r="E71" s="391">
        <v>10</v>
      </c>
      <c r="F71" s="200">
        <v>8</v>
      </c>
      <c r="G71" s="496">
        <f>VLOOKUP(B71,ИСХОДНИК!A:P,7,FALSE())</f>
        <v>65</v>
      </c>
      <c r="H71" s="495" t="s">
        <v>848</v>
      </c>
      <c r="I71" s="496" t="str">
        <f>VLOOKUP(B71,ИСХОДНИК!A:P,15,FALSE())</f>
        <v>U6 PL40R</v>
      </c>
      <c r="J71" s="579">
        <f>VLOOKUP(B71,ИСХОДНИК!A:N,13,FALSE())</f>
        <v>299400</v>
      </c>
      <c r="K71" s="579">
        <f>VLOOKUP(B71,ИСХОДНИК!A:N,14,FALSE())</f>
        <v>347304</v>
      </c>
      <c r="L71" s="578" t="str">
        <f>IF(VLOOKUP(B71,ИСХОДНИК!A:R,18,FALSE())=1,ИСХОДНИК!$T$2,IF(VLOOKUP(B71,ИСХОДНИК!A:R,18,FALSE())=2,ИСХОДНИК!$T$5,IF(VLOOKUP(B71,ИСХОДНИК!A:R,18,FALSE())=3,ИСХОДНИК!$T$6)))</f>
        <v>◑</v>
      </c>
      <c r="M71" s="506"/>
    </row>
    <row r="72" spans="2:13" ht="12.75" customHeight="1">
      <c r="B72" s="570"/>
      <c r="C72" s="101" t="s">
        <v>849</v>
      </c>
      <c r="D72" s="101" t="s">
        <v>850</v>
      </c>
      <c r="E72" s="391">
        <v>10</v>
      </c>
      <c r="F72" s="200">
        <v>9</v>
      </c>
      <c r="G72" s="496"/>
      <c r="H72" s="495"/>
      <c r="I72" s="496"/>
      <c r="J72" s="579"/>
      <c r="K72" s="579"/>
      <c r="L72" s="578"/>
      <c r="M72" s="506"/>
    </row>
    <row r="73" spans="2:13" ht="12.75" customHeight="1">
      <c r="B73" s="570"/>
      <c r="C73" s="101" t="s">
        <v>820</v>
      </c>
      <c r="D73" s="101" t="s">
        <v>832</v>
      </c>
      <c r="E73" s="391">
        <v>10</v>
      </c>
      <c r="F73" s="200">
        <v>10</v>
      </c>
      <c r="G73" s="496"/>
      <c r="H73" s="495"/>
      <c r="I73" s="496"/>
      <c r="J73" s="579"/>
      <c r="K73" s="579"/>
      <c r="L73" s="578"/>
      <c r="M73" s="506"/>
    </row>
    <row r="74" spans="2:13" ht="12.75" customHeight="1">
      <c r="B74" s="570" t="s">
        <v>217</v>
      </c>
      <c r="C74" s="101" t="s">
        <v>847</v>
      </c>
      <c r="D74" s="101" t="s">
        <v>832</v>
      </c>
      <c r="E74" s="391">
        <v>10</v>
      </c>
      <c r="F74" s="200">
        <v>8</v>
      </c>
      <c r="G74" s="496">
        <f>VLOOKUP(B74,ИСХОДНИК!A:P,7,FALSE())</f>
        <v>80</v>
      </c>
      <c r="H74" s="495" t="s">
        <v>848</v>
      </c>
      <c r="I74" s="496" t="str">
        <f>VLOOKUP(B74,ИСХОДНИК!A:P,15,FALSE())</f>
        <v>U6 PL40R</v>
      </c>
      <c r="J74" s="579">
        <f>VLOOKUP(B74,ИСХОДНИК!A:N,13,FALSE())</f>
        <v>348000</v>
      </c>
      <c r="K74" s="579">
        <f>VLOOKUP(B74,ИСХОДНИК!A:N,14,FALSE())</f>
        <v>403680</v>
      </c>
      <c r="L74" s="578" t="str">
        <f>IF(VLOOKUP(B74,ИСХОДНИК!A:R,18,FALSE())=1,ИСХОДНИК!$T$2,IF(VLOOKUP(B74,ИСХОДНИК!A:R,18,FALSE())=2,ИСХОДНИК!$T$5,IF(VLOOKUP(B74,ИСХОДНИК!A:R,18,FALSE())=3,ИСХОДНИК!$T$6)))</f>
        <v>◑</v>
      </c>
      <c r="M74" s="506"/>
    </row>
    <row r="75" spans="2:13" ht="12.75" customHeight="1">
      <c r="B75" s="570"/>
      <c r="C75" s="101" t="s">
        <v>849</v>
      </c>
      <c r="D75" s="101" t="s">
        <v>850</v>
      </c>
      <c r="E75" s="391">
        <v>10</v>
      </c>
      <c r="F75" s="200">
        <v>9</v>
      </c>
      <c r="G75" s="496"/>
      <c r="H75" s="495"/>
      <c r="I75" s="496"/>
      <c r="J75" s="579"/>
      <c r="K75" s="579"/>
      <c r="L75" s="578"/>
      <c r="M75" s="506"/>
    </row>
    <row r="76" spans="2:13" ht="12.75" customHeight="1">
      <c r="B76" s="570"/>
      <c r="C76" s="101" t="s">
        <v>820</v>
      </c>
      <c r="D76" s="101" t="s">
        <v>832</v>
      </c>
      <c r="E76" s="391">
        <v>10</v>
      </c>
      <c r="F76" s="200">
        <v>10</v>
      </c>
      <c r="G76" s="496"/>
      <c r="H76" s="495"/>
      <c r="I76" s="496"/>
      <c r="J76" s="579"/>
      <c r="K76" s="579"/>
      <c r="L76" s="578"/>
      <c r="M76" s="506"/>
    </row>
    <row r="77" spans="2:13" ht="12.75" customHeight="1">
      <c r="B77" s="570" t="s">
        <v>218</v>
      </c>
      <c r="C77" s="101" t="s">
        <v>847</v>
      </c>
      <c r="D77" s="101" t="s">
        <v>832</v>
      </c>
      <c r="E77" s="391">
        <v>5</v>
      </c>
      <c r="F77" s="200">
        <v>8</v>
      </c>
      <c r="G77" s="496" t="str">
        <f>VLOOKUP(B77,ИСХОДНИК!A:P,7,FALSE())</f>
        <v>100-150</v>
      </c>
      <c r="H77" s="495" t="s">
        <v>851</v>
      </c>
      <c r="I77" s="496" t="str">
        <f>VLOOKUP(B77,ИСХОДНИК!A:P,15,FALSE())</f>
        <v>U6 PL40R</v>
      </c>
      <c r="J77" s="579">
        <f>VLOOKUP(B77,ИСХОДНИК!A:N,13,FALSE())</f>
        <v>288000</v>
      </c>
      <c r="K77" s="579">
        <f>VLOOKUP(B77,ИСХОДНИК!A:N,14,FALSE())</f>
        <v>334080</v>
      </c>
      <c r="L77" s="578" t="str">
        <f>IF(VLOOKUP(B77,ИСХОДНИК!A:R,18,FALSE())=1,ИСХОДНИК!$T$2,IF(VLOOKUP(B77,ИСХОДНИК!A:R,18,FALSE())=2,ИСХОДНИК!$T$5,IF(VLOOKUP(B77,ИСХОДНИК!A:R,18,FALSE())=3,ИСХОДНИК!$T$6)))</f>
        <v>◑</v>
      </c>
      <c r="M77" s="506"/>
    </row>
    <row r="78" spans="2:13" ht="12.75" customHeight="1">
      <c r="B78" s="570"/>
      <c r="C78" s="101" t="s">
        <v>849</v>
      </c>
      <c r="D78" s="101" t="s">
        <v>850</v>
      </c>
      <c r="E78" s="391">
        <v>5</v>
      </c>
      <c r="F78" s="200">
        <v>9</v>
      </c>
      <c r="G78" s="496"/>
      <c r="H78" s="495"/>
      <c r="I78" s="496"/>
      <c r="J78" s="579"/>
      <c r="K78" s="579"/>
      <c r="L78" s="578"/>
      <c r="M78" s="506"/>
    </row>
    <row r="79" spans="2:13" ht="12.75" customHeight="1">
      <c r="B79" s="570"/>
      <c r="C79" s="101" t="s">
        <v>820</v>
      </c>
      <c r="D79" s="101" t="s">
        <v>832</v>
      </c>
      <c r="E79" s="391">
        <v>5</v>
      </c>
      <c r="F79" s="200">
        <v>10</v>
      </c>
      <c r="G79" s="496"/>
      <c r="H79" s="495"/>
      <c r="I79" s="496"/>
      <c r="J79" s="579"/>
      <c r="K79" s="579"/>
      <c r="L79" s="578"/>
      <c r="M79" s="506"/>
    </row>
    <row r="80" spans="2:13" ht="13.5">
      <c r="B80" s="570" t="s">
        <v>219</v>
      </c>
      <c r="C80" s="101" t="s">
        <v>847</v>
      </c>
      <c r="D80" s="101" t="s">
        <v>832</v>
      </c>
      <c r="E80" s="391">
        <v>1</v>
      </c>
      <c r="F80" s="200">
        <v>8</v>
      </c>
      <c r="G80" s="496">
        <f>VLOOKUP(B80,ИСХОДНИК!A:P,7,FALSE())</f>
        <v>200</v>
      </c>
      <c r="H80" s="495" t="s">
        <v>844</v>
      </c>
      <c r="I80" s="496" t="str">
        <f>VLOOKUP(B80,ИСХОДНИК!A:P,15,FALSE())</f>
        <v>U6 PL40R</v>
      </c>
      <c r="J80" s="579">
        <f>VLOOKUP(B80,ИСХОДНИК!A:N,13,FALSE())</f>
        <v>210000</v>
      </c>
      <c r="K80" s="579">
        <f>VLOOKUP(B80,ИСХОДНИК!A:N,14,FALSE())</f>
        <v>243599.99999999997</v>
      </c>
      <c r="L80" s="496" t="str">
        <f>IF(VLOOKUP(B80,ИСХОДНИК!A:R,18,FALSE())=1,ИСХОДНИК!$T$2,IF(VLOOKUP(B80,ИСХОДНИК!A:R,18,FALSE())=2,ИСХОДНИК!$T$5,IF(VLOOKUP(B80,ИСХОДНИК!A:R,18,FALSE())=3,ИСХОДНИК!$T$6)))</f>
        <v>◑</v>
      </c>
      <c r="M80" s="506"/>
    </row>
    <row r="81" spans="2:13" ht="13.5">
      <c r="B81" s="570"/>
      <c r="C81" s="101" t="s">
        <v>849</v>
      </c>
      <c r="D81" s="101" t="s">
        <v>850</v>
      </c>
      <c r="E81" s="391">
        <v>1</v>
      </c>
      <c r="F81" s="200">
        <v>9</v>
      </c>
      <c r="G81" s="496"/>
      <c r="H81" s="495"/>
      <c r="I81" s="496"/>
      <c r="J81" s="579"/>
      <c r="K81" s="579"/>
      <c r="L81" s="496"/>
      <c r="M81" s="506"/>
    </row>
    <row r="82" spans="2:13" ht="13.5">
      <c r="B82" s="570"/>
      <c r="C82" s="101" t="s">
        <v>820</v>
      </c>
      <c r="D82" s="101" t="s">
        <v>832</v>
      </c>
      <c r="E82" s="391">
        <v>1</v>
      </c>
      <c r="F82" s="200">
        <v>10</v>
      </c>
      <c r="G82" s="496"/>
      <c r="H82" s="495"/>
      <c r="I82" s="496"/>
      <c r="J82" s="579"/>
      <c r="K82" s="579"/>
      <c r="L82" s="496"/>
      <c r="M82" s="506"/>
    </row>
    <row r="83" spans="2:13" ht="13">
      <c r="B83" s="399"/>
      <c r="C83" s="15"/>
      <c r="D83" s="15"/>
      <c r="E83" s="400"/>
      <c r="F83" s="401"/>
      <c r="G83" s="325"/>
      <c r="H83" s="402"/>
      <c r="I83" s="325"/>
      <c r="J83" s="403"/>
      <c r="K83" s="403"/>
      <c r="L83" s="404"/>
      <c r="M83" s="401"/>
    </row>
    <row r="84" spans="2:13" ht="13.5">
      <c r="B84" s="580" t="s">
        <v>852</v>
      </c>
      <c r="C84" s="580"/>
      <c r="D84" s="580"/>
      <c r="E84" s="580"/>
      <c r="F84" s="580"/>
      <c r="G84" s="580"/>
      <c r="H84" s="580"/>
      <c r="I84" s="580"/>
      <c r="J84" s="580"/>
      <c r="K84" s="580"/>
      <c r="L84" s="580"/>
    </row>
    <row r="85" spans="2:13" ht="14.25" customHeight="1">
      <c r="B85" s="576" t="s">
        <v>220</v>
      </c>
      <c r="C85" s="101" t="s">
        <v>853</v>
      </c>
      <c r="D85" s="101" t="s">
        <v>854</v>
      </c>
      <c r="E85" s="405">
        <v>5</v>
      </c>
      <c r="F85" s="200">
        <v>11</v>
      </c>
      <c r="G85" s="581" t="str">
        <f>VLOOKUP(B85,ИСХОДНИК!A:P,7,FALSE())</f>
        <v>15-25</v>
      </c>
      <c r="H85" s="582" t="s">
        <v>844</v>
      </c>
      <c r="I85" s="581" t="str">
        <f>VLOOKUP(B85,ИСХОДНИК!A:P,15,FALSE())</f>
        <v>U6 PL40R</v>
      </c>
      <c r="J85" s="577">
        <f>VLOOKUP(B85,ИСХОДНИК!A:N,13,FALSE())</f>
        <v>39000</v>
      </c>
      <c r="K85" s="577">
        <f>VLOOKUP(B85,ИСХОДНИК!A:N,14,FALSE())</f>
        <v>45240</v>
      </c>
      <c r="L85" s="581" t="str">
        <f>IF(VLOOKUP(B85,ИСХОДНИК!A:R,18,FALSE())=1,ИСХОДНИК!$T$2,IF(VLOOKUP(B85,ИСХОДНИК!A:R,18,FALSE())=2,ИСХОДНИК!$T$5,IF(VLOOKUP(B85,ИСХОДНИК!A:R,18,FALSE())=3,ИСХОДНИК!$T$6)))</f>
        <v>◑</v>
      </c>
    </row>
    <row r="86" spans="2:13" ht="14.25" customHeight="1">
      <c r="B86" s="576"/>
      <c r="C86" s="101" t="s">
        <v>855</v>
      </c>
      <c r="D86" s="101" t="s">
        <v>854</v>
      </c>
      <c r="E86" s="405">
        <v>10</v>
      </c>
      <c r="F86" s="200">
        <v>12</v>
      </c>
      <c r="G86" s="581"/>
      <c r="H86" s="582"/>
      <c r="I86" s="581"/>
      <c r="J86" s="577"/>
      <c r="K86" s="577"/>
      <c r="L86" s="581"/>
    </row>
    <row r="87" spans="2:13" ht="14.25" customHeight="1">
      <c r="B87" s="576"/>
      <c r="C87" s="101" t="s">
        <v>856</v>
      </c>
      <c r="D87" s="101" t="s">
        <v>854</v>
      </c>
      <c r="E87" s="405">
        <v>5</v>
      </c>
      <c r="F87" s="200">
        <v>13</v>
      </c>
      <c r="G87" s="581"/>
      <c r="H87" s="582"/>
      <c r="I87" s="581"/>
      <c r="J87" s="577"/>
      <c r="K87" s="577"/>
      <c r="L87" s="581"/>
    </row>
    <row r="88" spans="2:13" ht="14.25" customHeight="1">
      <c r="B88" s="576"/>
      <c r="C88" s="101" t="s">
        <v>820</v>
      </c>
      <c r="D88" s="280" t="s">
        <v>821</v>
      </c>
      <c r="E88" s="405">
        <v>5</v>
      </c>
      <c r="F88" s="200">
        <v>7</v>
      </c>
      <c r="G88" s="581"/>
      <c r="H88" s="582"/>
      <c r="I88" s="581"/>
      <c r="J88" s="577"/>
      <c r="K88" s="577"/>
      <c r="L88" s="581"/>
    </row>
    <row r="89" spans="2:13" ht="13.5">
      <c r="B89" s="576" t="s">
        <v>222</v>
      </c>
      <c r="C89" s="101" t="s">
        <v>853</v>
      </c>
      <c r="D89" s="101" t="s">
        <v>854</v>
      </c>
      <c r="E89" s="405">
        <v>5</v>
      </c>
      <c r="F89" s="200">
        <v>11</v>
      </c>
      <c r="G89" s="581" t="str">
        <f>VLOOKUP(B89,ИСХОДНИК!A:P,7,FALSE())</f>
        <v>32-40</v>
      </c>
      <c r="H89" s="495" t="s">
        <v>844</v>
      </c>
      <c r="I89" s="496" t="str">
        <f>VLOOKUP(B89,ИСХОДНИК!A:P,15,FALSE())</f>
        <v>U6 PL40R</v>
      </c>
      <c r="J89" s="577">
        <f>VLOOKUP(B89,ИСХОДНИК!A:N,13,FALSE())</f>
        <v>69000</v>
      </c>
      <c r="K89" s="577">
        <f>VLOOKUP(B89,ИСХОДНИК!A:N,14,FALSE())</f>
        <v>80040</v>
      </c>
      <c r="L89" s="581" t="str">
        <f>IF(VLOOKUP(B89,ИСХОДНИК!A:R,18,FALSE())=1,ИСХОДНИК!$T$2,IF(VLOOKUP(B89,ИСХОДНИК!A:R,18,FALSE())=2,ИСХОДНИК!$T$5,IF(VLOOKUP(B89,ИСХОДНИК!A:R,18,FALSE())=3,ИСХОДНИК!$T$6)))</f>
        <v>○</v>
      </c>
    </row>
    <row r="90" spans="2:13" ht="13.5">
      <c r="B90" s="576"/>
      <c r="C90" s="101" t="s">
        <v>855</v>
      </c>
      <c r="D90" s="101" t="s">
        <v>854</v>
      </c>
      <c r="E90" s="405">
        <v>15</v>
      </c>
      <c r="F90" s="200">
        <v>12</v>
      </c>
      <c r="G90" s="581"/>
      <c r="H90" s="495"/>
      <c r="I90" s="496"/>
      <c r="J90" s="577"/>
      <c r="K90" s="577"/>
      <c r="L90" s="581"/>
    </row>
    <row r="91" spans="2:13" ht="13.5">
      <c r="B91" s="576"/>
      <c r="C91" s="101" t="s">
        <v>856</v>
      </c>
      <c r="D91" s="101" t="s">
        <v>854</v>
      </c>
      <c r="E91" s="405">
        <v>5</v>
      </c>
      <c r="F91" s="200">
        <v>13</v>
      </c>
      <c r="G91" s="581"/>
      <c r="H91" s="495"/>
      <c r="I91" s="496"/>
      <c r="J91" s="577"/>
      <c r="K91" s="577"/>
      <c r="L91" s="581"/>
    </row>
    <row r="92" spans="2:13" ht="13.5">
      <c r="B92" s="576"/>
      <c r="C92" s="101" t="s">
        <v>820</v>
      </c>
      <c r="D92" s="280" t="s">
        <v>821</v>
      </c>
      <c r="E92" s="405">
        <v>5</v>
      </c>
      <c r="F92" s="200">
        <v>7</v>
      </c>
      <c r="G92" s="581"/>
      <c r="H92" s="495"/>
      <c r="I92" s="496"/>
      <c r="J92" s="577"/>
      <c r="K92" s="577"/>
      <c r="L92" s="581"/>
    </row>
    <row r="93" spans="2:13" ht="13.5">
      <c r="B93" s="576" t="s">
        <v>223</v>
      </c>
      <c r="C93" s="101" t="s">
        <v>853</v>
      </c>
      <c r="D93" s="101" t="s">
        <v>854</v>
      </c>
      <c r="E93" s="405">
        <v>1</v>
      </c>
      <c r="F93" s="200">
        <v>11</v>
      </c>
      <c r="G93" s="496">
        <f>VLOOKUP(B93,ИСХОДНИК!A:P,7,FALSE())</f>
        <v>50</v>
      </c>
      <c r="H93" s="495" t="s">
        <v>844</v>
      </c>
      <c r="I93" s="496" t="str">
        <f>VLOOKUP(B93,ИСХОДНИК!A:P,15,FALSE())</f>
        <v>U6 PL40R</v>
      </c>
      <c r="J93" s="577">
        <f>VLOOKUP(B93,ИСХОДНИК!A:N,13,FALSE())</f>
        <v>22800</v>
      </c>
      <c r="K93" s="577">
        <f>VLOOKUP(B93,ИСХОДНИК!A:N,14,FALSE())</f>
        <v>26447.999999999996</v>
      </c>
      <c r="L93" s="581" t="str">
        <f>IF(VLOOKUP(B93,ИСХОДНИК!A:R,18,FALSE())=1,ИСХОДНИК!$T$2,IF(VLOOKUP(B93,ИСХОДНИК!A:R,18,FALSE())=2,ИСХОДНИК!$T$5,IF(VLOOKUP(B93,ИСХОДНИК!A:R,18,FALSE())=3,ИСХОДНИК!$T$6)))</f>
        <v>○</v>
      </c>
    </row>
    <row r="94" spans="2:13" ht="13.5">
      <c r="B94" s="576"/>
      <c r="C94" s="101" t="s">
        <v>855</v>
      </c>
      <c r="D94" s="101" t="s">
        <v>854</v>
      </c>
      <c r="E94" s="405">
        <v>16</v>
      </c>
      <c r="F94" s="200">
        <v>12</v>
      </c>
      <c r="G94" s="496"/>
      <c r="H94" s="495"/>
      <c r="I94" s="496"/>
      <c r="J94" s="577"/>
      <c r="K94" s="577"/>
      <c r="L94" s="581"/>
    </row>
    <row r="95" spans="2:13" ht="13.5">
      <c r="B95" s="576"/>
      <c r="C95" s="101" t="s">
        <v>856</v>
      </c>
      <c r="D95" s="101" t="s">
        <v>854</v>
      </c>
      <c r="E95" s="405">
        <v>1</v>
      </c>
      <c r="F95" s="200">
        <v>13</v>
      </c>
      <c r="G95" s="496"/>
      <c r="H95" s="495"/>
      <c r="I95" s="496"/>
      <c r="J95" s="577"/>
      <c r="K95" s="577"/>
      <c r="L95" s="581"/>
    </row>
    <row r="96" spans="2:13" ht="13.5">
      <c r="B96" s="576"/>
      <c r="C96" s="101" t="s">
        <v>820</v>
      </c>
      <c r="D96" s="280" t="s">
        <v>821</v>
      </c>
      <c r="E96" s="405">
        <v>1</v>
      </c>
      <c r="F96" s="200">
        <v>7</v>
      </c>
      <c r="G96" s="496"/>
      <c r="H96" s="495"/>
      <c r="I96" s="496"/>
      <c r="J96" s="577"/>
      <c r="K96" s="577"/>
      <c r="L96" s="581"/>
    </row>
    <row r="97" spans="2:12" ht="13.5">
      <c r="B97" s="576" t="s">
        <v>224</v>
      </c>
      <c r="C97" s="101" t="s">
        <v>853</v>
      </c>
      <c r="D97" s="101" t="s">
        <v>854</v>
      </c>
      <c r="E97" s="405">
        <v>1</v>
      </c>
      <c r="F97" s="200">
        <v>11</v>
      </c>
      <c r="G97" s="496">
        <f>VLOOKUP(B97,ИСХОДНИК!A:P,7,FALSE())</f>
        <v>65</v>
      </c>
      <c r="H97" s="495" t="s">
        <v>844</v>
      </c>
      <c r="I97" s="496" t="str">
        <f>VLOOKUP(B97,ИСХОДНИК!A:P,15,FALSE())</f>
        <v>U6 PL40R</v>
      </c>
      <c r="J97" s="577">
        <f>VLOOKUP(B97,ИСХОДНИК!A:N,13,FALSE())</f>
        <v>27000</v>
      </c>
      <c r="K97" s="577">
        <f>VLOOKUP(B97,ИСХОДНИК!A:N,14,FALSE())</f>
        <v>31319.999999999996</v>
      </c>
      <c r="L97" s="581" t="str">
        <f>IF(VLOOKUP(B97,ИСХОДНИК!A:R,18,FALSE())=1,ИСХОДНИК!$T$2,IF(VLOOKUP(B97,ИСХОДНИК!A:R,18,FALSE())=2,ИСХОДНИК!$T$5,IF(VLOOKUP(B97,ИСХОДНИК!A:R,18,FALSE())=3,ИСХОДНИК!$T$6)))</f>
        <v>○</v>
      </c>
    </row>
    <row r="98" spans="2:12" ht="13.5">
      <c r="B98" s="576"/>
      <c r="C98" s="101" t="s">
        <v>855</v>
      </c>
      <c r="D98" s="101" t="s">
        <v>854</v>
      </c>
      <c r="E98" s="405">
        <v>18</v>
      </c>
      <c r="F98" s="200">
        <v>12</v>
      </c>
      <c r="G98" s="496"/>
      <c r="H98" s="495"/>
      <c r="I98" s="496"/>
      <c r="J98" s="577"/>
      <c r="K98" s="577"/>
      <c r="L98" s="581"/>
    </row>
    <row r="99" spans="2:12" ht="13.5">
      <c r="B99" s="576"/>
      <c r="C99" s="101" t="s">
        <v>856</v>
      </c>
      <c r="D99" s="101" t="s">
        <v>854</v>
      </c>
      <c r="E99" s="405">
        <v>1</v>
      </c>
      <c r="F99" s="200">
        <v>13</v>
      </c>
      <c r="G99" s="496"/>
      <c r="H99" s="495"/>
      <c r="I99" s="496"/>
      <c r="J99" s="577"/>
      <c r="K99" s="577"/>
      <c r="L99" s="581"/>
    </row>
    <row r="100" spans="2:12" ht="13.5">
      <c r="B100" s="576"/>
      <c r="C100" s="101" t="s">
        <v>820</v>
      </c>
      <c r="D100" s="280" t="s">
        <v>821</v>
      </c>
      <c r="E100" s="405">
        <v>1</v>
      </c>
      <c r="F100" s="200">
        <v>7</v>
      </c>
      <c r="G100" s="496"/>
      <c r="H100" s="495"/>
      <c r="I100" s="496"/>
      <c r="J100" s="577"/>
      <c r="K100" s="577"/>
      <c r="L100" s="581"/>
    </row>
    <row r="101" spans="2:12" ht="13.5">
      <c r="B101" s="576" t="s">
        <v>225</v>
      </c>
      <c r="C101" s="101" t="s">
        <v>853</v>
      </c>
      <c r="D101" s="101" t="s">
        <v>854</v>
      </c>
      <c r="E101" s="405">
        <v>1</v>
      </c>
      <c r="F101" s="200">
        <v>11</v>
      </c>
      <c r="G101" s="496">
        <f>VLOOKUP(B101,ИСХОДНИК!A:P,7,FALSE())</f>
        <v>80</v>
      </c>
      <c r="H101" s="495" t="s">
        <v>844</v>
      </c>
      <c r="I101" s="496" t="str">
        <f>VLOOKUP(B101,ИСХОДНИК!A:P,15,FALSE())</f>
        <v>U6 PL40R</v>
      </c>
      <c r="J101" s="577">
        <f>VLOOKUP(B101,ИСХОДНИК!A:N,13,FALSE())</f>
        <v>31200</v>
      </c>
      <c r="K101" s="577">
        <f>VLOOKUP(B101,ИСХОДНИК!A:N,14,FALSE())</f>
        <v>36192</v>
      </c>
      <c r="L101" s="581" t="str">
        <f>IF(VLOOKUP(B101,ИСХОДНИК!A:R,18,FALSE())=1,ИСХОДНИК!$T$2,IF(VLOOKUP(B101,ИСХОДНИК!A:R,18,FALSE())=2,ИСХОДНИК!$T$5,IF(VLOOKUP(B101,ИСХОДНИК!A:R,18,FALSE())=3,ИСХОДНИК!$T$6)))</f>
        <v>◑</v>
      </c>
    </row>
    <row r="102" spans="2:12" ht="13.5">
      <c r="B102" s="576"/>
      <c r="C102" s="101" t="s">
        <v>855</v>
      </c>
      <c r="D102" s="101" t="s">
        <v>854</v>
      </c>
      <c r="E102" s="405">
        <v>14</v>
      </c>
      <c r="F102" s="200">
        <v>12</v>
      </c>
      <c r="G102" s="496"/>
      <c r="H102" s="495"/>
      <c r="I102" s="496"/>
      <c r="J102" s="577"/>
      <c r="K102" s="577"/>
      <c r="L102" s="581"/>
    </row>
    <row r="103" spans="2:12" ht="13.5">
      <c r="B103" s="576"/>
      <c r="C103" s="101" t="s">
        <v>856</v>
      </c>
      <c r="D103" s="101" t="s">
        <v>854</v>
      </c>
      <c r="E103" s="405">
        <v>1</v>
      </c>
      <c r="F103" s="200">
        <v>13</v>
      </c>
      <c r="G103" s="496"/>
      <c r="H103" s="495"/>
      <c r="I103" s="496"/>
      <c r="J103" s="577"/>
      <c r="K103" s="577"/>
      <c r="L103" s="581"/>
    </row>
    <row r="104" spans="2:12" ht="13.5">
      <c r="B104" s="576"/>
      <c r="C104" s="101" t="s">
        <v>820</v>
      </c>
      <c r="D104" s="280" t="s">
        <v>821</v>
      </c>
      <c r="E104" s="405">
        <v>1</v>
      </c>
      <c r="F104" s="200">
        <v>7</v>
      </c>
      <c r="G104" s="496"/>
      <c r="H104" s="495"/>
      <c r="I104" s="496"/>
      <c r="J104" s="577"/>
      <c r="K104" s="577"/>
      <c r="L104" s="581"/>
    </row>
    <row r="105" spans="2:12" ht="13.5">
      <c r="B105" s="576" t="s">
        <v>226</v>
      </c>
      <c r="C105" s="101" t="s">
        <v>853</v>
      </c>
      <c r="D105" s="101" t="s">
        <v>854</v>
      </c>
      <c r="E105" s="405">
        <v>1</v>
      </c>
      <c r="F105" s="200">
        <v>11</v>
      </c>
      <c r="G105" s="496">
        <f>VLOOKUP(B105,ИСХОДНИК!A:P,7,FALSE())</f>
        <v>100</v>
      </c>
      <c r="H105" s="495" t="s">
        <v>844</v>
      </c>
      <c r="I105" s="496" t="str">
        <f>VLOOKUP(B105,ИСХОДНИК!A:P,15,FALSE())</f>
        <v>U6 PL40R</v>
      </c>
      <c r="J105" s="577">
        <f>VLOOKUP(B105,ИСХОДНИК!A:N,13,FALSE())</f>
        <v>51000</v>
      </c>
      <c r="K105" s="577">
        <f>VLOOKUP(B105,ИСХОДНИК!A:N,14,FALSE())</f>
        <v>59159.999999999993</v>
      </c>
      <c r="L105" s="581" t="str">
        <f>IF(VLOOKUP(B105,ИСХОДНИК!A:R,18,FALSE())=1,ИСХОДНИК!$T$2,IF(VLOOKUP(B105,ИСХОДНИК!A:R,18,FALSE())=2,ИСХОДНИК!$T$5,IF(VLOOKUP(B105,ИСХОДНИК!A:R,18,FALSE())=3,ИСХОДНИК!$T$6)))</f>
        <v>○</v>
      </c>
    </row>
    <row r="106" spans="2:12" ht="13.5">
      <c r="B106" s="576"/>
      <c r="C106" s="101" t="s">
        <v>855</v>
      </c>
      <c r="D106" s="101" t="s">
        <v>854</v>
      </c>
      <c r="E106" s="405">
        <v>13</v>
      </c>
      <c r="F106" s="200">
        <v>12</v>
      </c>
      <c r="G106" s="496"/>
      <c r="H106" s="495"/>
      <c r="I106" s="496"/>
      <c r="J106" s="577"/>
      <c r="K106" s="577"/>
      <c r="L106" s="581"/>
    </row>
    <row r="107" spans="2:12" ht="13.5">
      <c r="B107" s="576"/>
      <c r="C107" s="101" t="s">
        <v>856</v>
      </c>
      <c r="D107" s="101" t="s">
        <v>854</v>
      </c>
      <c r="E107" s="405">
        <v>1</v>
      </c>
      <c r="F107" s="200">
        <v>13</v>
      </c>
      <c r="G107" s="496"/>
      <c r="H107" s="495"/>
      <c r="I107" s="496"/>
      <c r="J107" s="577"/>
      <c r="K107" s="577"/>
      <c r="L107" s="581"/>
    </row>
    <row r="108" spans="2:12" ht="13.5">
      <c r="B108" s="576"/>
      <c r="C108" s="101" t="s">
        <v>820</v>
      </c>
      <c r="D108" s="280" t="s">
        <v>821</v>
      </c>
      <c r="E108" s="405">
        <v>1</v>
      </c>
      <c r="F108" s="200">
        <v>7</v>
      </c>
      <c r="G108" s="496"/>
      <c r="H108" s="495"/>
      <c r="I108" s="496"/>
      <c r="J108" s="577"/>
      <c r="K108" s="577"/>
      <c r="L108" s="581"/>
    </row>
    <row r="109" spans="2:12" ht="13.5">
      <c r="B109" s="576" t="s">
        <v>227</v>
      </c>
      <c r="C109" s="101" t="s">
        <v>853</v>
      </c>
      <c r="D109" s="101" t="s">
        <v>854</v>
      </c>
      <c r="E109" s="405">
        <v>1</v>
      </c>
      <c r="F109" s="200">
        <v>11</v>
      </c>
      <c r="G109" s="496">
        <f>VLOOKUP(B109,ИСХОДНИК!A:P,7,FALSE())</f>
        <v>125</v>
      </c>
      <c r="H109" s="495" t="s">
        <v>844</v>
      </c>
      <c r="I109" s="496" t="str">
        <f>VLOOKUP(B109,ИСХОДНИК!A:P,15,FALSE())</f>
        <v>U6 PL40R</v>
      </c>
      <c r="J109" s="577">
        <f>VLOOKUP(B109,ИСХОДНИК!A:N,13,FALSE())</f>
        <v>81000</v>
      </c>
      <c r="K109" s="577">
        <f>VLOOKUP(B109,ИСХОДНИК!A:N,14,FALSE())</f>
        <v>93960</v>
      </c>
      <c r="L109" s="581" t="str">
        <f>IF(VLOOKUP(B109,ИСХОДНИК!A:R,18,FALSE())=1,ИСХОДНИК!$T$2,IF(VLOOKUP(B109,ИСХОДНИК!A:R,18,FALSE())=2,ИСХОДНИК!$T$5,IF(VLOOKUP(B109,ИСХОДНИК!A:R,18,FALSE())=3,ИСХОДНИК!$T$6)))</f>
        <v>○</v>
      </c>
    </row>
    <row r="110" spans="2:12" ht="13.5">
      <c r="B110" s="576"/>
      <c r="C110" s="101" t="s">
        <v>855</v>
      </c>
      <c r="D110" s="101" t="s">
        <v>854</v>
      </c>
      <c r="E110" s="405">
        <v>13</v>
      </c>
      <c r="F110" s="200">
        <v>12</v>
      </c>
      <c r="G110" s="496"/>
      <c r="H110" s="495"/>
      <c r="I110" s="496"/>
      <c r="J110" s="577"/>
      <c r="K110" s="577"/>
      <c r="L110" s="581"/>
    </row>
    <row r="111" spans="2:12" ht="13.5">
      <c r="B111" s="576"/>
      <c r="C111" s="101" t="s">
        <v>856</v>
      </c>
      <c r="D111" s="101" t="s">
        <v>854</v>
      </c>
      <c r="E111" s="405">
        <v>1</v>
      </c>
      <c r="F111" s="200">
        <v>13</v>
      </c>
      <c r="G111" s="496"/>
      <c r="H111" s="495"/>
      <c r="I111" s="496"/>
      <c r="J111" s="577"/>
      <c r="K111" s="577"/>
      <c r="L111" s="581"/>
    </row>
    <row r="112" spans="2:12" ht="13.5">
      <c r="B112" s="576"/>
      <c r="C112" s="101" t="s">
        <v>820</v>
      </c>
      <c r="D112" s="280" t="s">
        <v>821</v>
      </c>
      <c r="E112" s="405">
        <v>1</v>
      </c>
      <c r="F112" s="200">
        <v>7</v>
      </c>
      <c r="G112" s="496"/>
      <c r="H112" s="495"/>
      <c r="I112" s="496"/>
      <c r="J112" s="577"/>
      <c r="K112" s="577"/>
      <c r="L112" s="581"/>
    </row>
    <row r="113" spans="2:12" ht="13.5">
      <c r="B113" s="576" t="s">
        <v>228</v>
      </c>
      <c r="C113" s="101" t="s">
        <v>853</v>
      </c>
      <c r="D113" s="101" t="s">
        <v>854</v>
      </c>
      <c r="E113" s="405">
        <v>1</v>
      </c>
      <c r="F113" s="200">
        <v>11</v>
      </c>
      <c r="G113" s="496">
        <f>VLOOKUP(B113,ИСХОДНИК!A:P,7,FALSE())</f>
        <v>150</v>
      </c>
      <c r="H113" s="495" t="s">
        <v>844</v>
      </c>
      <c r="I113" s="496" t="str">
        <f>VLOOKUP(B113,ИСХОДНИК!A:P,15,FALSE())</f>
        <v>U6 PL40R</v>
      </c>
      <c r="J113" s="577">
        <f>VLOOKUP(B113,ИСХОДНИК!A:N,13,FALSE())</f>
        <v>117000</v>
      </c>
      <c r="K113" s="577">
        <f>VLOOKUP(B113,ИСХОДНИК!A:N,14,FALSE())</f>
        <v>135720</v>
      </c>
      <c r="L113" s="583" t="str">
        <f>IF(VLOOKUP(B113,ИСХОДНИК!A:R,18,FALSE())=1,ИСХОДНИК!$T$2,IF(VLOOKUP(B113,ИСХОДНИК!A:R,18,FALSE())=2,ИСХОДНИК!$T$5,IF(VLOOKUP(B113,ИСХОДНИК!A:R,18,FALSE())=3,ИСХОДНИК!$T$6)))</f>
        <v>○</v>
      </c>
    </row>
    <row r="114" spans="2:12" ht="13.5">
      <c r="B114" s="576"/>
      <c r="C114" s="101" t="s">
        <v>855</v>
      </c>
      <c r="D114" s="101" t="s">
        <v>854</v>
      </c>
      <c r="E114" s="405">
        <v>13</v>
      </c>
      <c r="F114" s="200">
        <v>12</v>
      </c>
      <c r="G114" s="496"/>
      <c r="H114" s="495"/>
      <c r="I114" s="496"/>
      <c r="J114" s="577"/>
      <c r="K114" s="577"/>
      <c r="L114" s="583"/>
    </row>
    <row r="115" spans="2:12" ht="13.5">
      <c r="B115" s="576"/>
      <c r="C115" s="101" t="s">
        <v>856</v>
      </c>
      <c r="D115" s="101" t="s">
        <v>854</v>
      </c>
      <c r="E115" s="405">
        <v>1</v>
      </c>
      <c r="F115" s="200">
        <v>13</v>
      </c>
      <c r="G115" s="496"/>
      <c r="H115" s="495"/>
      <c r="I115" s="496"/>
      <c r="J115" s="577"/>
      <c r="K115" s="577"/>
      <c r="L115" s="583"/>
    </row>
    <row r="116" spans="2:12" ht="13.5">
      <c r="B116" s="576"/>
      <c r="C116" s="101" t="s">
        <v>820</v>
      </c>
      <c r="D116" s="280" t="s">
        <v>821</v>
      </c>
      <c r="E116" s="405">
        <v>1</v>
      </c>
      <c r="F116" s="200">
        <v>7</v>
      </c>
      <c r="G116" s="496"/>
      <c r="H116" s="495"/>
      <c r="I116" s="496"/>
      <c r="J116" s="577"/>
      <c r="K116" s="577"/>
      <c r="L116" s="583"/>
    </row>
    <row r="117" spans="2:12" ht="13.5">
      <c r="B117" s="576" t="s">
        <v>229</v>
      </c>
      <c r="C117" s="101" t="s">
        <v>853</v>
      </c>
      <c r="D117" s="101" t="s">
        <v>854</v>
      </c>
      <c r="E117" s="405">
        <v>1</v>
      </c>
      <c r="F117" s="200">
        <v>11</v>
      </c>
      <c r="G117" s="496">
        <f>VLOOKUP(B117,ИСХОДНИК!A:P,7,FALSE())</f>
        <v>200</v>
      </c>
      <c r="H117" s="495" t="s">
        <v>844</v>
      </c>
      <c r="I117" s="496" t="str">
        <f>VLOOKUP(B117,ИСХОДНИК!A:P,15,FALSE())</f>
        <v>U6 PL40R</v>
      </c>
      <c r="J117" s="577">
        <f>VLOOKUP(B117,ИСХОДНИК!A:N,13,FALSE())</f>
        <v>210000</v>
      </c>
      <c r="K117" s="577">
        <f>VLOOKUP(B117,ИСХОДНИК!A:N,14,FALSE())</f>
        <v>243599.99999999997</v>
      </c>
      <c r="L117" s="583" t="str">
        <f>IF(VLOOKUP(B117,ИСХОДНИК!A:R,18,FALSE())=1,ИСХОДНИК!$T$2,IF(VLOOKUP(B117,ИСХОДНИК!A:R,18,FALSE())=2,ИСХОДНИК!$T$5,IF(VLOOKUP(B117,ИСХОДНИК!A:R,18,FALSE())=3,ИСХОДНИК!$T$6)))</f>
        <v>○</v>
      </c>
    </row>
    <row r="118" spans="2:12" ht="13.5">
      <c r="B118" s="576"/>
      <c r="C118" s="101" t="s">
        <v>855</v>
      </c>
      <c r="D118" s="101" t="s">
        <v>854</v>
      </c>
      <c r="E118" s="405">
        <v>13</v>
      </c>
      <c r="F118" s="200">
        <v>12</v>
      </c>
      <c r="G118" s="496"/>
      <c r="H118" s="495"/>
      <c r="I118" s="496"/>
      <c r="J118" s="577"/>
      <c r="K118" s="577"/>
      <c r="L118" s="583"/>
    </row>
    <row r="119" spans="2:12" ht="13.5">
      <c r="B119" s="576"/>
      <c r="C119" s="101" t="s">
        <v>856</v>
      </c>
      <c r="D119" s="101" t="s">
        <v>854</v>
      </c>
      <c r="E119" s="405">
        <v>1</v>
      </c>
      <c r="F119" s="200">
        <v>13</v>
      </c>
      <c r="G119" s="496"/>
      <c r="H119" s="495"/>
      <c r="I119" s="496"/>
      <c r="J119" s="577"/>
      <c r="K119" s="577"/>
      <c r="L119" s="583"/>
    </row>
    <row r="120" spans="2:12" ht="13.5">
      <c r="B120" s="576"/>
      <c r="C120" s="101" t="s">
        <v>820</v>
      </c>
      <c r="D120" s="280" t="s">
        <v>821</v>
      </c>
      <c r="E120" s="405">
        <v>1</v>
      </c>
      <c r="F120" s="200">
        <v>7</v>
      </c>
      <c r="G120" s="496"/>
      <c r="H120" s="495"/>
      <c r="I120" s="496"/>
      <c r="J120" s="577"/>
      <c r="K120" s="577"/>
      <c r="L120" s="583"/>
    </row>
    <row r="121" spans="2:12" ht="13.5">
      <c r="B121" s="576" t="s">
        <v>230</v>
      </c>
      <c r="C121" s="101" t="s">
        <v>853</v>
      </c>
      <c r="D121" s="101" t="s">
        <v>854</v>
      </c>
      <c r="E121" s="405">
        <v>1</v>
      </c>
      <c r="F121" s="200">
        <v>11</v>
      </c>
      <c r="G121" s="496">
        <f>VLOOKUP(B121,ИСХОДНИК!A:P,7,FALSE())</f>
        <v>250</v>
      </c>
      <c r="H121" s="495" t="s">
        <v>844</v>
      </c>
      <c r="I121" s="496" t="str">
        <f>VLOOKUP(B121,ИСХОДНИК!A:P,15,FALSE())</f>
        <v>U6 PL40R</v>
      </c>
      <c r="J121" s="577">
        <f>VLOOKUP(B121,ИСХОДНИК!A:N,13,FALSE())</f>
        <v>336000</v>
      </c>
      <c r="K121" s="577">
        <f>VLOOKUP(B121,ИСХОДНИК!A:N,14,FALSE())</f>
        <v>389760</v>
      </c>
      <c r="L121" s="583" t="str">
        <f>IF(VLOOKUP(B121,ИСХОДНИК!A:R,18,FALSE())=1,ИСХОДНИК!$T$2,IF(VLOOKUP(B121,ИСХОДНИК!A:R,18,FALSE())=2,ИСХОДНИК!$T$5,IF(VLOOKUP(B121,ИСХОДНИК!A:R,18,FALSE())=3,ИСХОДНИК!$T$6)))</f>
        <v>○</v>
      </c>
    </row>
    <row r="122" spans="2:12" ht="13.5">
      <c r="B122" s="576"/>
      <c r="C122" s="101" t="s">
        <v>855</v>
      </c>
      <c r="D122" s="101" t="s">
        <v>854</v>
      </c>
      <c r="E122" s="405">
        <v>13</v>
      </c>
      <c r="F122" s="200">
        <v>12</v>
      </c>
      <c r="G122" s="496"/>
      <c r="H122" s="495"/>
      <c r="I122" s="496"/>
      <c r="J122" s="577"/>
      <c r="K122" s="577"/>
      <c r="L122" s="583"/>
    </row>
    <row r="123" spans="2:12" ht="13.5">
      <c r="B123" s="576"/>
      <c r="C123" s="101" t="s">
        <v>856</v>
      </c>
      <c r="D123" s="101" t="s">
        <v>854</v>
      </c>
      <c r="E123" s="405">
        <v>1</v>
      </c>
      <c r="F123" s="200">
        <v>13</v>
      </c>
      <c r="G123" s="496"/>
      <c r="H123" s="495"/>
      <c r="I123" s="496"/>
      <c r="J123" s="577"/>
      <c r="K123" s="577"/>
      <c r="L123" s="583"/>
    </row>
    <row r="124" spans="2:12" ht="13.5">
      <c r="B124" s="576"/>
      <c r="C124" s="101" t="s">
        <v>820</v>
      </c>
      <c r="D124" s="280" t="s">
        <v>821</v>
      </c>
      <c r="E124" s="405">
        <v>1</v>
      </c>
      <c r="F124" s="200">
        <v>7</v>
      </c>
      <c r="G124" s="496"/>
      <c r="H124" s="495"/>
      <c r="I124" s="496"/>
      <c r="J124" s="577"/>
      <c r="K124" s="577"/>
      <c r="L124" s="583"/>
    </row>
    <row r="125" spans="2:12" ht="13.5">
      <c r="B125" s="576" t="s">
        <v>231</v>
      </c>
      <c r="C125" s="101" t="s">
        <v>853</v>
      </c>
      <c r="D125" s="101" t="s">
        <v>854</v>
      </c>
      <c r="E125" s="405">
        <v>1</v>
      </c>
      <c r="F125" s="200">
        <v>11</v>
      </c>
      <c r="G125" s="496">
        <f>VLOOKUP(B125,ИСХОДНИК!A:P,7,FALSE())</f>
        <v>300</v>
      </c>
      <c r="H125" s="495" t="s">
        <v>844</v>
      </c>
      <c r="I125" s="496" t="str">
        <f>VLOOKUP(B125,ИСХОДНИК!A:P,15,FALSE())</f>
        <v>U6 PL40R</v>
      </c>
      <c r="J125" s="577">
        <f>VLOOKUP(B125,ИСХОДНИК!A:N,13,FALSE())</f>
        <v>522000</v>
      </c>
      <c r="K125" s="577">
        <f>VLOOKUP(B125,ИСХОДНИК!A:N,14,FALSE())</f>
        <v>605520</v>
      </c>
      <c r="L125" s="583" t="str">
        <f>IF(VLOOKUP(B125,ИСХОДНИК!A:R,18,FALSE())=1,ИСХОДНИК!$T$2,IF(VLOOKUP(B125,ИСХОДНИК!A:R,18,FALSE())=2,ИСХОДНИК!$T$5,IF(VLOOKUP(B125,ИСХОДНИК!A:R,18,FALSE())=3,ИСХОДНИК!$T$6)))</f>
        <v>○</v>
      </c>
    </row>
    <row r="126" spans="2:12" ht="13.5">
      <c r="B126" s="576"/>
      <c r="C126" s="101" t="s">
        <v>855</v>
      </c>
      <c r="D126" s="101" t="s">
        <v>854</v>
      </c>
      <c r="E126" s="405">
        <v>13</v>
      </c>
      <c r="F126" s="200">
        <v>12</v>
      </c>
      <c r="G126" s="496"/>
      <c r="H126" s="495"/>
      <c r="I126" s="496"/>
      <c r="J126" s="577"/>
      <c r="K126" s="577"/>
      <c r="L126" s="583"/>
    </row>
    <row r="127" spans="2:12" ht="13.5">
      <c r="B127" s="576"/>
      <c r="C127" s="101" t="s">
        <v>856</v>
      </c>
      <c r="D127" s="101" t="s">
        <v>854</v>
      </c>
      <c r="E127" s="405">
        <v>1</v>
      </c>
      <c r="F127" s="200">
        <v>13</v>
      </c>
      <c r="G127" s="496"/>
      <c r="H127" s="495"/>
      <c r="I127" s="496"/>
      <c r="J127" s="577"/>
      <c r="K127" s="577"/>
      <c r="L127" s="583"/>
    </row>
    <row r="128" spans="2:12" ht="13.5">
      <c r="B128" s="576"/>
      <c r="C128" s="101" t="s">
        <v>820</v>
      </c>
      <c r="D128" s="280" t="s">
        <v>821</v>
      </c>
      <c r="E128" s="405">
        <v>1</v>
      </c>
      <c r="F128" s="200">
        <v>7</v>
      </c>
      <c r="G128" s="496"/>
      <c r="H128" s="495"/>
      <c r="I128" s="496"/>
      <c r="J128" s="577"/>
      <c r="K128" s="577"/>
      <c r="L128" s="583"/>
    </row>
    <row r="129" spans="2:12" ht="13.5">
      <c r="B129" s="570" t="s">
        <v>232</v>
      </c>
      <c r="C129" s="101" t="s">
        <v>853</v>
      </c>
      <c r="D129" s="101" t="s">
        <v>854</v>
      </c>
      <c r="E129" s="405">
        <v>1</v>
      </c>
      <c r="F129" s="200">
        <v>11</v>
      </c>
      <c r="G129" s="496">
        <f>VLOOKUP(B129,ИСХОДНИК!A:P,7,FALSE())</f>
        <v>350</v>
      </c>
      <c r="H129" s="495" t="s">
        <v>844</v>
      </c>
      <c r="I129" s="496" t="str">
        <f>VLOOKUP(B129,ИСХОДНИК!A:P,15,FALSE())</f>
        <v>U6 PL40R</v>
      </c>
      <c r="J129" s="579">
        <f>VLOOKUP(B129,ИСХОДНИК!A:N,13,FALSE())</f>
        <v>780000</v>
      </c>
      <c r="K129" s="579">
        <f>VLOOKUP(B129,ИСХОДНИК!A:N,14,FALSE())</f>
        <v>904799.99999999988</v>
      </c>
      <c r="L129" s="578" t="str">
        <f>IF(VLOOKUP(B129,ИСХОДНИК!A:R,18,FALSE())=1,ИСХОДНИК!$T$2,IF(VLOOKUP(B129,ИСХОДНИК!A:R,18,FALSE())=2,ИСХОДНИК!$T$5,IF(VLOOKUP(B129,ИСХОДНИК!A:R,18,FALSE())=3,ИСХОДНИК!$T$6)))</f>
        <v>○</v>
      </c>
    </row>
    <row r="130" spans="2:12" ht="13.5">
      <c r="B130" s="570"/>
      <c r="C130" s="101" t="s">
        <v>855</v>
      </c>
      <c r="D130" s="101" t="s">
        <v>854</v>
      </c>
      <c r="E130" s="405">
        <v>13</v>
      </c>
      <c r="F130" s="200">
        <v>12</v>
      </c>
      <c r="G130" s="496"/>
      <c r="H130" s="495"/>
      <c r="I130" s="496"/>
      <c r="J130" s="579"/>
      <c r="K130" s="579"/>
      <c r="L130" s="578"/>
    </row>
    <row r="131" spans="2:12" ht="13.5">
      <c r="B131" s="570"/>
      <c r="C131" s="101" t="s">
        <v>856</v>
      </c>
      <c r="D131" s="101" t="s">
        <v>854</v>
      </c>
      <c r="E131" s="405">
        <v>1</v>
      </c>
      <c r="F131" s="200">
        <v>13</v>
      </c>
      <c r="G131" s="496"/>
      <c r="H131" s="495"/>
      <c r="I131" s="496"/>
      <c r="J131" s="579"/>
      <c r="K131" s="579"/>
      <c r="L131" s="578"/>
    </row>
    <row r="132" spans="2:12" ht="13.5">
      <c r="B132" s="570"/>
      <c r="C132" s="101" t="s">
        <v>820</v>
      </c>
      <c r="D132" s="280" t="s">
        <v>821</v>
      </c>
      <c r="E132" s="405">
        <v>1</v>
      </c>
      <c r="F132" s="200">
        <v>7</v>
      </c>
      <c r="G132" s="496"/>
      <c r="H132" s="495"/>
      <c r="I132" s="496"/>
      <c r="J132" s="579"/>
      <c r="K132" s="579"/>
      <c r="L132" s="578"/>
    </row>
  </sheetData>
  <mergeCells count="183">
    <mergeCell ref="B129:B132"/>
    <mergeCell ref="G129:G132"/>
    <mergeCell ref="H129:H132"/>
    <mergeCell ref="I129:I132"/>
    <mergeCell ref="J129:J132"/>
    <mergeCell ref="K129:K132"/>
    <mergeCell ref="L129:L132"/>
    <mergeCell ref="B121:B124"/>
    <mergeCell ref="G121:G124"/>
    <mergeCell ref="H121:H124"/>
    <mergeCell ref="I121:I124"/>
    <mergeCell ref="J121:J124"/>
    <mergeCell ref="K121:K124"/>
    <mergeCell ref="L121:L124"/>
    <mergeCell ref="B125:B128"/>
    <mergeCell ref="G125:G128"/>
    <mergeCell ref="H125:H128"/>
    <mergeCell ref="I125:I128"/>
    <mergeCell ref="J125:J128"/>
    <mergeCell ref="K125:K128"/>
    <mergeCell ref="L125:L128"/>
    <mergeCell ref="B113:B116"/>
    <mergeCell ref="G113:G116"/>
    <mergeCell ref="H113:H116"/>
    <mergeCell ref="I113:I116"/>
    <mergeCell ref="J113:J116"/>
    <mergeCell ref="K113:K116"/>
    <mergeCell ref="L113:L116"/>
    <mergeCell ref="B117:B120"/>
    <mergeCell ref="G117:G120"/>
    <mergeCell ref="H117:H120"/>
    <mergeCell ref="I117:I120"/>
    <mergeCell ref="J117:J120"/>
    <mergeCell ref="K117:K120"/>
    <mergeCell ref="L117:L120"/>
    <mergeCell ref="B105:B108"/>
    <mergeCell ref="G105:G108"/>
    <mergeCell ref="H105:H108"/>
    <mergeCell ref="I105:I108"/>
    <mergeCell ref="J105:J108"/>
    <mergeCell ref="K105:K108"/>
    <mergeCell ref="L105:L108"/>
    <mergeCell ref="B109:B112"/>
    <mergeCell ref="G109:G112"/>
    <mergeCell ref="H109:H112"/>
    <mergeCell ref="I109:I112"/>
    <mergeCell ref="J109:J112"/>
    <mergeCell ref="K109:K112"/>
    <mergeCell ref="L109:L112"/>
    <mergeCell ref="B97:B100"/>
    <mergeCell ref="G97:G100"/>
    <mergeCell ref="H97:H100"/>
    <mergeCell ref="I97:I100"/>
    <mergeCell ref="J97:J100"/>
    <mergeCell ref="K97:K100"/>
    <mergeCell ref="L97:L100"/>
    <mergeCell ref="B101:B104"/>
    <mergeCell ref="G101:G104"/>
    <mergeCell ref="H101:H104"/>
    <mergeCell ref="I101:I104"/>
    <mergeCell ref="J101:J104"/>
    <mergeCell ref="K101:K104"/>
    <mergeCell ref="L101:L104"/>
    <mergeCell ref="B89:B92"/>
    <mergeCell ref="G89:G92"/>
    <mergeCell ref="H89:H92"/>
    <mergeCell ref="I89:I92"/>
    <mergeCell ref="J89:J92"/>
    <mergeCell ref="K89:K92"/>
    <mergeCell ref="L89:L92"/>
    <mergeCell ref="B93:B96"/>
    <mergeCell ref="G93:G96"/>
    <mergeCell ref="H93:H96"/>
    <mergeCell ref="I93:I96"/>
    <mergeCell ref="J93:J96"/>
    <mergeCell ref="K93:K96"/>
    <mergeCell ref="L93:L96"/>
    <mergeCell ref="B80:B82"/>
    <mergeCell ref="G80:G82"/>
    <mergeCell ref="H80:H82"/>
    <mergeCell ref="I80:I82"/>
    <mergeCell ref="J80:J82"/>
    <mergeCell ref="K80:K82"/>
    <mergeCell ref="L80:L82"/>
    <mergeCell ref="B84:L84"/>
    <mergeCell ref="B85:B88"/>
    <mergeCell ref="G85:G88"/>
    <mergeCell ref="H85:H88"/>
    <mergeCell ref="I85:I88"/>
    <mergeCell ref="J85:J88"/>
    <mergeCell ref="K85:K88"/>
    <mergeCell ref="L85:L88"/>
    <mergeCell ref="G74:G76"/>
    <mergeCell ref="H74:H76"/>
    <mergeCell ref="I74:I76"/>
    <mergeCell ref="J74:J76"/>
    <mergeCell ref="K74:K76"/>
    <mergeCell ref="L74:L76"/>
    <mergeCell ref="B77:B79"/>
    <mergeCell ref="G77:G79"/>
    <mergeCell ref="H77:H79"/>
    <mergeCell ref="I77:I79"/>
    <mergeCell ref="J77:J79"/>
    <mergeCell ref="K77:K79"/>
    <mergeCell ref="L77:L79"/>
    <mergeCell ref="B63:L63"/>
    <mergeCell ref="B65:B67"/>
    <mergeCell ref="G65:G67"/>
    <mergeCell ref="H65:H67"/>
    <mergeCell ref="I65:I67"/>
    <mergeCell ref="J65:J67"/>
    <mergeCell ref="K65:K67"/>
    <mergeCell ref="L65:L67"/>
    <mergeCell ref="M65:M82"/>
    <mergeCell ref="B68:B70"/>
    <mergeCell ref="G68:G70"/>
    <mergeCell ref="H68:H70"/>
    <mergeCell ref="I68:I70"/>
    <mergeCell ref="J68:J70"/>
    <mergeCell ref="K68:K70"/>
    <mergeCell ref="L68:L70"/>
    <mergeCell ref="B71:B73"/>
    <mergeCell ref="G71:G73"/>
    <mergeCell ref="H71:H73"/>
    <mergeCell ref="I71:I73"/>
    <mergeCell ref="J71:J73"/>
    <mergeCell ref="K71:K73"/>
    <mergeCell ref="L71:L73"/>
    <mergeCell ref="B74:B76"/>
    <mergeCell ref="B46:B47"/>
    <mergeCell ref="G46:G47"/>
    <mergeCell ref="H46:H47"/>
    <mergeCell ref="I46:I47"/>
    <mergeCell ref="J46:J47"/>
    <mergeCell ref="K46:K47"/>
    <mergeCell ref="L46:L47"/>
    <mergeCell ref="B49:L49"/>
    <mergeCell ref="M51:M61"/>
    <mergeCell ref="B31:B36"/>
    <mergeCell ref="G31:G36"/>
    <mergeCell ref="I31:I36"/>
    <mergeCell ref="J31:J36"/>
    <mergeCell ref="K31:K36"/>
    <mergeCell ref="L31:L36"/>
    <mergeCell ref="B37:B42"/>
    <mergeCell ref="G37:G42"/>
    <mergeCell ref="I37:I42"/>
    <mergeCell ref="J37:J42"/>
    <mergeCell ref="K37:K42"/>
    <mergeCell ref="L37:L42"/>
    <mergeCell ref="B21:B25"/>
    <mergeCell ref="G21:G25"/>
    <mergeCell ref="I21:I25"/>
    <mergeCell ref="J21:J25"/>
    <mergeCell ref="K21:K25"/>
    <mergeCell ref="L21:L25"/>
    <mergeCell ref="B26:B30"/>
    <mergeCell ref="G26:G30"/>
    <mergeCell ref="I26:I30"/>
    <mergeCell ref="J26:J30"/>
    <mergeCell ref="K26:K30"/>
    <mergeCell ref="L26:L30"/>
    <mergeCell ref="B11:B15"/>
    <mergeCell ref="G11:G15"/>
    <mergeCell ref="I11:I15"/>
    <mergeCell ref="J11:J15"/>
    <mergeCell ref="K11:K15"/>
    <mergeCell ref="L11:L15"/>
    <mergeCell ref="B16:B20"/>
    <mergeCell ref="G16:G20"/>
    <mergeCell ref="I16:I20"/>
    <mergeCell ref="J16:J20"/>
    <mergeCell ref="K16:K20"/>
    <mergeCell ref="L16:L20"/>
    <mergeCell ref="B1:L2"/>
    <mergeCell ref="B3:L3"/>
    <mergeCell ref="I4:L4"/>
    <mergeCell ref="B6:B10"/>
    <mergeCell ref="G6:G10"/>
    <mergeCell ref="I6:I10"/>
    <mergeCell ref="J6:J10"/>
    <mergeCell ref="K6:K10"/>
    <mergeCell ref="L6:L10"/>
  </mergeCells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J514"/>
  <sheetViews>
    <sheetView zoomScaleNormal="100" workbookViewId="0">
      <pane xSplit="2" ySplit="1" topLeftCell="M2" activePane="bottomRight" state="frozen"/>
      <selection pane="topRight" activeCell="M1" sqref="M1"/>
      <selection pane="bottomLeft" activeCell="A2" sqref="A2"/>
      <selection pane="bottomRight" activeCell="W28" sqref="W28"/>
    </sheetView>
  </sheetViews>
  <sheetFormatPr defaultColWidth="9.1796875" defaultRowHeight="13.5" customHeight="1"/>
  <cols>
    <col min="1" max="1" width="13.1796875" style="406" customWidth="1"/>
    <col min="2" max="2" width="66.54296875" style="407" customWidth="1"/>
    <col min="3" max="3" width="66" style="406" customWidth="1"/>
    <col min="4" max="4" width="11.1796875" style="406" customWidth="1"/>
    <col min="5" max="5" width="39.54296875" style="406" customWidth="1"/>
    <col min="6" max="6" width="16.453125" style="406" customWidth="1"/>
    <col min="7" max="7" width="12.453125" style="406" customWidth="1"/>
    <col min="8" max="8" width="9" style="406" customWidth="1"/>
    <col min="9" max="9" width="17.1796875" style="406" customWidth="1"/>
    <col min="10" max="10" width="23.81640625" style="406" customWidth="1"/>
    <col min="11" max="11" width="29.1796875" style="408" customWidth="1"/>
    <col min="12" max="12" width="69.1796875" style="407" customWidth="1"/>
    <col min="13" max="13" width="15.26953125" style="409" customWidth="1"/>
    <col min="14" max="14" width="16.1796875" style="409" customWidth="1"/>
    <col min="15" max="15" width="18.54296875" style="410" customWidth="1"/>
    <col min="16" max="16" width="21.54296875" style="411" customWidth="1"/>
    <col min="17" max="17" width="10.7265625" style="411" customWidth="1"/>
    <col min="18" max="18" width="12" style="412" customWidth="1"/>
    <col min="19" max="19" width="23" style="413" customWidth="1"/>
    <col min="20" max="1024" width="9.1796875" style="411"/>
  </cols>
  <sheetData>
    <row r="1" spans="1:20" ht="42.75" customHeight="1">
      <c r="A1" s="414" t="s">
        <v>857</v>
      </c>
      <c r="B1" s="415" t="s">
        <v>73</v>
      </c>
      <c r="C1" s="415" t="s">
        <v>858</v>
      </c>
      <c r="D1" s="415" t="s">
        <v>859</v>
      </c>
      <c r="E1" s="415" t="s">
        <v>860</v>
      </c>
      <c r="F1" s="415" t="s">
        <v>861</v>
      </c>
      <c r="G1" s="415" t="s">
        <v>81</v>
      </c>
      <c r="H1" s="415" t="s">
        <v>862</v>
      </c>
      <c r="I1" s="415" t="s">
        <v>83</v>
      </c>
      <c r="J1" s="415" t="s">
        <v>84</v>
      </c>
      <c r="K1" s="416" t="s">
        <v>863</v>
      </c>
      <c r="L1" s="415" t="s">
        <v>2</v>
      </c>
      <c r="M1" s="417" t="s">
        <v>864</v>
      </c>
      <c r="N1" s="417" t="s">
        <v>865</v>
      </c>
      <c r="O1" s="418" t="s">
        <v>866</v>
      </c>
      <c r="P1" s="418" t="s">
        <v>867</v>
      </c>
      <c r="Q1" s="415" t="s">
        <v>80</v>
      </c>
      <c r="R1" s="415" t="s">
        <v>868</v>
      </c>
      <c r="S1" s="419" t="s">
        <v>869</v>
      </c>
    </row>
    <row r="2" spans="1:20" ht="25">
      <c r="A2" s="420" t="s">
        <v>137</v>
      </c>
      <c r="B2" s="421" t="s">
        <v>870</v>
      </c>
      <c r="C2" s="422" t="s">
        <v>871</v>
      </c>
      <c r="D2" s="423" t="s">
        <v>872</v>
      </c>
      <c r="E2" s="423" t="s">
        <v>873</v>
      </c>
      <c r="F2" s="423"/>
      <c r="G2" s="423"/>
      <c r="H2" s="423"/>
      <c r="I2" s="423"/>
      <c r="J2" s="423"/>
      <c r="K2" s="424"/>
      <c r="L2" s="422" t="s">
        <v>874</v>
      </c>
      <c r="M2" s="425">
        <v>21000</v>
      </c>
      <c r="N2" s="425">
        <f>M2*НДС!$A$1</f>
        <v>24360</v>
      </c>
      <c r="O2" s="426" t="s">
        <v>70</v>
      </c>
      <c r="P2" s="422"/>
      <c r="Q2" s="427" t="s">
        <v>58</v>
      </c>
      <c r="R2" s="423">
        <f>IF(Таблица68[[#This Row],[Столбец2]]="A",1,IF(Таблица68[[#This Row],[Столбец2]]="B",2,IF(Таблица68[[#This Row],[Столбец2]]="C",3)))</f>
        <v>1</v>
      </c>
      <c r="S2" s="413" t="s">
        <v>875</v>
      </c>
      <c r="T2" s="428" t="s">
        <v>58</v>
      </c>
    </row>
    <row r="3" spans="1:20" ht="25">
      <c r="A3" s="420" t="s">
        <v>140</v>
      </c>
      <c r="B3" s="422" t="s">
        <v>129</v>
      </c>
      <c r="C3" s="422"/>
      <c r="D3" s="423"/>
      <c r="E3" s="423" t="s">
        <v>876</v>
      </c>
      <c r="F3" s="423"/>
      <c r="G3" s="423"/>
      <c r="H3" s="423"/>
      <c r="I3" s="423"/>
      <c r="J3" s="423"/>
      <c r="K3" s="424"/>
      <c r="L3" s="422" t="s">
        <v>877</v>
      </c>
      <c r="M3" s="425">
        <v>27000</v>
      </c>
      <c r="N3" s="425">
        <f>M3*НДС!$A$1</f>
        <v>31319.999999999996</v>
      </c>
      <c r="O3" s="426" t="s">
        <v>70</v>
      </c>
      <c r="P3" s="422"/>
      <c r="Q3" s="429" t="s">
        <v>65</v>
      </c>
      <c r="R3" s="423">
        <f>IF(Таблица68[[#This Row],[Столбец2]]="A",1,IF(Таблица68[[#This Row],[Столбец2]]="B",2,IF(Таблица68[[#This Row],[Столбец2]]="C",3)))</f>
        <v>3</v>
      </c>
      <c r="S3" s="430" t="s">
        <v>878</v>
      </c>
      <c r="T3" s="428"/>
    </row>
    <row r="4" spans="1:20" ht="18">
      <c r="A4" s="420" t="s">
        <v>141</v>
      </c>
      <c r="B4" s="422" t="s">
        <v>129</v>
      </c>
      <c r="C4" s="422" t="s">
        <v>879</v>
      </c>
      <c r="D4" s="423" t="s">
        <v>872</v>
      </c>
      <c r="E4" s="423" t="s">
        <v>880</v>
      </c>
      <c r="F4" s="423"/>
      <c r="G4" s="423"/>
      <c r="H4" s="423"/>
      <c r="I4" s="423"/>
      <c r="J4" s="423"/>
      <c r="K4" s="424"/>
      <c r="L4" s="422" t="s">
        <v>881</v>
      </c>
      <c r="M4" s="425">
        <v>35400</v>
      </c>
      <c r="N4" s="425">
        <f>M4*НДС!$A$1</f>
        <v>41064</v>
      </c>
      <c r="O4" s="426" t="s">
        <v>70</v>
      </c>
      <c r="P4" s="422"/>
      <c r="Q4" s="431" t="s">
        <v>61</v>
      </c>
      <c r="R4" s="423">
        <f>IF(Таблица68[[#This Row],[Столбец2]]="A",1,IF(Таблица68[[#This Row],[Столбец2]]="B",2,IF(Таблица68[[#This Row],[Столбец2]]="C",3)))</f>
        <v>2</v>
      </c>
      <c r="S4" s="413" t="s">
        <v>882</v>
      </c>
      <c r="T4" s="428"/>
    </row>
    <row r="5" spans="1:20" ht="28">
      <c r="A5" s="420" t="s">
        <v>491</v>
      </c>
      <c r="B5" s="422" t="s">
        <v>883</v>
      </c>
      <c r="C5" s="422" t="s">
        <v>884</v>
      </c>
      <c r="D5" s="423" t="s">
        <v>885</v>
      </c>
      <c r="E5" s="423" t="s">
        <v>886</v>
      </c>
      <c r="F5" s="423" t="s">
        <v>257</v>
      </c>
      <c r="G5" s="423">
        <v>10</v>
      </c>
      <c r="H5" s="423">
        <v>40</v>
      </c>
      <c r="I5" s="423" t="s">
        <v>887</v>
      </c>
      <c r="J5" s="423" t="s">
        <v>888</v>
      </c>
      <c r="K5" s="424" t="s">
        <v>889</v>
      </c>
      <c r="L5" s="422" t="s">
        <v>890</v>
      </c>
      <c r="M5" s="425">
        <v>186000</v>
      </c>
      <c r="N5" s="425">
        <f>M5*НДС!$A$1</f>
        <v>215759.99999999997</v>
      </c>
      <c r="O5" s="426" t="s">
        <v>70</v>
      </c>
      <c r="P5" s="422"/>
      <c r="Q5" s="431" t="s">
        <v>61</v>
      </c>
      <c r="R5" s="423">
        <f>IF(Таблица68[[#This Row],[Столбец2]]="A",1,IF(Таблица68[[#This Row],[Столбец2]]="B",2,IF(Таблица68[[#This Row],[Столбец2]]="C",3)))</f>
        <v>2</v>
      </c>
      <c r="S5" s="413" t="s">
        <v>882</v>
      </c>
      <c r="T5" s="428" t="s">
        <v>61</v>
      </c>
    </row>
    <row r="6" spans="1:20" ht="28.5" customHeight="1">
      <c r="A6" s="420" t="s">
        <v>492</v>
      </c>
      <c r="B6" s="422" t="s">
        <v>883</v>
      </c>
      <c r="C6" s="422" t="s">
        <v>891</v>
      </c>
      <c r="D6" s="423" t="s">
        <v>885</v>
      </c>
      <c r="E6" s="423" t="s">
        <v>892</v>
      </c>
      <c r="F6" s="423" t="s">
        <v>257</v>
      </c>
      <c r="G6" s="423">
        <v>15</v>
      </c>
      <c r="H6" s="423">
        <v>40</v>
      </c>
      <c r="I6" s="423" t="s">
        <v>887</v>
      </c>
      <c r="J6" s="423" t="s">
        <v>888</v>
      </c>
      <c r="K6" s="424" t="s">
        <v>889</v>
      </c>
      <c r="L6" s="422" t="s">
        <v>893</v>
      </c>
      <c r="M6" s="425">
        <v>186000</v>
      </c>
      <c r="N6" s="425">
        <f>M6*НДС!$A$1</f>
        <v>215759.99999999997</v>
      </c>
      <c r="O6" s="426" t="s">
        <v>70</v>
      </c>
      <c r="P6" s="422"/>
      <c r="Q6" s="431" t="s">
        <v>61</v>
      </c>
      <c r="R6" s="423">
        <f>IF(Таблица68[[#This Row],[Столбец2]]="A",1,IF(Таблица68[[#This Row],[Столбец2]]="B",2,IF(Таблица68[[#This Row],[Столбец2]]="C",3)))</f>
        <v>2</v>
      </c>
      <c r="S6" s="413" t="s">
        <v>882</v>
      </c>
      <c r="T6" s="428" t="s">
        <v>65</v>
      </c>
    </row>
    <row r="7" spans="1:20" ht="28">
      <c r="A7" s="420" t="s">
        <v>493</v>
      </c>
      <c r="B7" s="422" t="s">
        <v>883</v>
      </c>
      <c r="C7" s="422" t="s">
        <v>894</v>
      </c>
      <c r="D7" s="423" t="s">
        <v>885</v>
      </c>
      <c r="E7" s="423" t="str">
        <f>RIGHT(Таблица68[[#This Row],[Полное  наименование]],7)</f>
        <v>EVRA 20</v>
      </c>
      <c r="F7" s="423" t="s">
        <v>257</v>
      </c>
      <c r="G7" s="423">
        <v>20</v>
      </c>
      <c r="H7" s="423">
        <v>40</v>
      </c>
      <c r="I7" s="423" t="s">
        <v>887</v>
      </c>
      <c r="J7" s="423" t="s">
        <v>888</v>
      </c>
      <c r="K7" s="424" t="s">
        <v>889</v>
      </c>
      <c r="L7" s="422" t="s">
        <v>895</v>
      </c>
      <c r="M7" s="425">
        <v>213000</v>
      </c>
      <c r="N7" s="425">
        <f>M7*НДС!$A$1</f>
        <v>247079.99999999997</v>
      </c>
      <c r="O7" s="426" t="s">
        <v>70</v>
      </c>
      <c r="P7" s="422"/>
      <c r="Q7" s="431" t="s">
        <v>61</v>
      </c>
      <c r="R7" s="423">
        <f>IF(Таблица68[[#This Row],[Столбец2]]="A",1,IF(Таблица68[[#This Row],[Столбец2]]="B",2,IF(Таблица68[[#This Row],[Столбец2]]="C",3)))</f>
        <v>2</v>
      </c>
      <c r="S7" s="413" t="s">
        <v>882</v>
      </c>
    </row>
    <row r="8" spans="1:20" ht="28">
      <c r="A8" s="420" t="s">
        <v>494</v>
      </c>
      <c r="B8" s="422" t="s">
        <v>883</v>
      </c>
      <c r="C8" s="422" t="s">
        <v>896</v>
      </c>
      <c r="D8" s="423" t="s">
        <v>885</v>
      </c>
      <c r="E8" s="423" t="str">
        <f>RIGHT(Таблица68[[#This Row],[Полное  наименование]],7)</f>
        <v>EVRA 25</v>
      </c>
      <c r="F8" s="423" t="s">
        <v>257</v>
      </c>
      <c r="G8" s="423">
        <v>25</v>
      </c>
      <c r="H8" s="423">
        <v>40</v>
      </c>
      <c r="I8" s="423" t="s">
        <v>887</v>
      </c>
      <c r="J8" s="423" t="s">
        <v>888</v>
      </c>
      <c r="K8" s="424" t="s">
        <v>889</v>
      </c>
      <c r="L8" s="422" t="s">
        <v>897</v>
      </c>
      <c r="M8" s="425">
        <v>213000</v>
      </c>
      <c r="N8" s="425">
        <f>M8*НДС!$A$1</f>
        <v>247079.99999999997</v>
      </c>
      <c r="O8" s="426" t="s">
        <v>70</v>
      </c>
      <c r="P8" s="422"/>
      <c r="Q8" s="431" t="s">
        <v>61</v>
      </c>
      <c r="R8" s="423">
        <f>IF(Таблица68[[#This Row],[Столбец2]]="A",1,IF(Таблица68[[#This Row],[Столбец2]]="B",2,IF(Таблица68[[#This Row],[Столбец2]]="C",3)))</f>
        <v>2</v>
      </c>
      <c r="S8" s="413" t="s">
        <v>882</v>
      </c>
    </row>
    <row r="9" spans="1:20" ht="28">
      <c r="A9" s="420" t="s">
        <v>495</v>
      </c>
      <c r="B9" s="422" t="s">
        <v>883</v>
      </c>
      <c r="C9" s="422" t="s">
        <v>898</v>
      </c>
      <c r="D9" s="423" t="s">
        <v>885</v>
      </c>
      <c r="E9" s="423" t="str">
        <f>RIGHT(Таблица68[[#This Row],[Полное  наименование]],7)</f>
        <v>EVRA 32</v>
      </c>
      <c r="F9" s="423" t="s">
        <v>257</v>
      </c>
      <c r="G9" s="423">
        <v>32</v>
      </c>
      <c r="H9" s="423">
        <v>40</v>
      </c>
      <c r="I9" s="423" t="s">
        <v>887</v>
      </c>
      <c r="J9" s="423" t="s">
        <v>888</v>
      </c>
      <c r="K9" s="424" t="s">
        <v>889</v>
      </c>
      <c r="L9" s="422" t="s">
        <v>899</v>
      </c>
      <c r="M9" s="425">
        <v>288000</v>
      </c>
      <c r="N9" s="425">
        <f>M9*НДС!$A$1</f>
        <v>334080</v>
      </c>
      <c r="O9" s="426" t="s">
        <v>70</v>
      </c>
      <c r="P9" s="422"/>
      <c r="Q9" s="431" t="s">
        <v>61</v>
      </c>
      <c r="R9" s="423">
        <f>IF(Таблица68[[#This Row],[Столбец2]]="A",1,IF(Таблица68[[#This Row],[Столбец2]]="B",2,IF(Таблица68[[#This Row],[Столбец2]]="C",3)))</f>
        <v>2</v>
      </c>
      <c r="S9" s="413" t="s">
        <v>882</v>
      </c>
    </row>
    <row r="10" spans="1:20" ht="28">
      <c r="A10" s="420" t="s">
        <v>497</v>
      </c>
      <c r="B10" s="422" t="s">
        <v>883</v>
      </c>
      <c r="C10" s="422" t="s">
        <v>900</v>
      </c>
      <c r="D10" s="423" t="s">
        <v>885</v>
      </c>
      <c r="E10" s="423" t="str">
        <f>RIGHT(Таблица68[[#This Row],[Полное  наименование]],7)</f>
        <v>EVRA 40</v>
      </c>
      <c r="F10" s="423" t="s">
        <v>257</v>
      </c>
      <c r="G10" s="423">
        <v>40</v>
      </c>
      <c r="H10" s="423">
        <v>40</v>
      </c>
      <c r="I10" s="423" t="s">
        <v>887</v>
      </c>
      <c r="J10" s="423" t="s">
        <v>888</v>
      </c>
      <c r="K10" s="424" t="s">
        <v>889</v>
      </c>
      <c r="L10" s="422" t="s">
        <v>901</v>
      </c>
      <c r="M10" s="425">
        <v>300000</v>
      </c>
      <c r="N10" s="425">
        <f>M10*НДС!$A$1</f>
        <v>348000</v>
      </c>
      <c r="O10" s="426" t="s">
        <v>70</v>
      </c>
      <c r="P10" s="422"/>
      <c r="Q10" s="431" t="s">
        <v>61</v>
      </c>
      <c r="R10" s="423">
        <f>IF(Таблица68[[#This Row],[Столбец2]]="A",1,IF(Таблица68[[#This Row],[Столбец2]]="B",2,IF(Таблица68[[#This Row],[Столбец2]]="C",3)))</f>
        <v>2</v>
      </c>
      <c r="S10" s="413" t="s">
        <v>882</v>
      </c>
    </row>
    <row r="11" spans="1:20" ht="28">
      <c r="A11" s="420" t="s">
        <v>498</v>
      </c>
      <c r="B11" s="422" t="s">
        <v>883</v>
      </c>
      <c r="C11" s="422" t="s">
        <v>902</v>
      </c>
      <c r="D11" s="423" t="s">
        <v>885</v>
      </c>
      <c r="E11" s="423" t="str">
        <f>RIGHT(Таблица68[[#This Row],[Полное  наименование]],7)</f>
        <v>EVRA 50</v>
      </c>
      <c r="F11" s="423" t="s">
        <v>257</v>
      </c>
      <c r="G11" s="423">
        <v>50</v>
      </c>
      <c r="H11" s="423">
        <v>40</v>
      </c>
      <c r="I11" s="423" t="s">
        <v>887</v>
      </c>
      <c r="J11" s="423" t="s">
        <v>888</v>
      </c>
      <c r="K11" s="424" t="s">
        <v>889</v>
      </c>
      <c r="L11" s="422" t="s">
        <v>903</v>
      </c>
      <c r="M11" s="425">
        <v>330000</v>
      </c>
      <c r="N11" s="425">
        <f>M11*НДС!$A$1</f>
        <v>382800</v>
      </c>
      <c r="O11" s="426" t="s">
        <v>70</v>
      </c>
      <c r="P11" s="422"/>
      <c r="Q11" s="429" t="s">
        <v>65</v>
      </c>
      <c r="R11" s="423">
        <f>IF(Таблица68[[#This Row],[Столбец2]]="A",1,IF(Таблица68[[#This Row],[Столбец2]]="B",2,IF(Таблица68[[#This Row],[Столбец2]]="C",3)))</f>
        <v>3</v>
      </c>
      <c r="S11" s="413" t="s">
        <v>878</v>
      </c>
    </row>
    <row r="12" spans="1:20" ht="28">
      <c r="A12" s="420" t="s">
        <v>619</v>
      </c>
      <c r="B12" s="422" t="s">
        <v>904</v>
      </c>
      <c r="C12" s="422" t="s">
        <v>905</v>
      </c>
      <c r="D12" s="423" t="s">
        <v>906</v>
      </c>
      <c r="E12" s="423" t="str">
        <f>RIGHT(Таблица68[[#This Row],[Полное  наименование]],7)</f>
        <v>PMLX 32</v>
      </c>
      <c r="F12" s="423" t="s">
        <v>257</v>
      </c>
      <c r="G12" s="423">
        <v>32</v>
      </c>
      <c r="H12" s="432" t="s">
        <v>907</v>
      </c>
      <c r="I12" s="423" t="s">
        <v>908</v>
      </c>
      <c r="J12" s="423" t="s">
        <v>888</v>
      </c>
      <c r="K12" s="424" t="s">
        <v>889</v>
      </c>
      <c r="L12" s="422" t="s">
        <v>909</v>
      </c>
      <c r="M12" s="425">
        <v>930000</v>
      </c>
      <c r="N12" s="425">
        <f>M12*НДС!$A$1</f>
        <v>1078800</v>
      </c>
      <c r="O12" s="426" t="s">
        <v>910</v>
      </c>
      <c r="P12" s="422"/>
      <c r="Q12" s="429" t="s">
        <v>65</v>
      </c>
      <c r="R12" s="423">
        <f>IF(Таблица68[[#This Row],[Столбец2]]="A",1,IF(Таблица68[[#This Row],[Столбец2]]="B",2,IF(Таблица68[[#This Row],[Столбец2]]="C",3)))</f>
        <v>3</v>
      </c>
      <c r="S12" s="413" t="s">
        <v>878</v>
      </c>
    </row>
    <row r="13" spans="1:20" ht="28">
      <c r="A13" s="420" t="s">
        <v>620</v>
      </c>
      <c r="B13" s="422" t="s">
        <v>904</v>
      </c>
      <c r="C13" s="422" t="s">
        <v>911</v>
      </c>
      <c r="D13" s="423" t="s">
        <v>906</v>
      </c>
      <c r="E13" s="423" t="str">
        <f>RIGHT(Таблица68[[#This Row],[Полное  наименование]],7)</f>
        <v>PMLX 40</v>
      </c>
      <c r="F13" s="423" t="s">
        <v>257</v>
      </c>
      <c r="G13" s="423">
        <v>40</v>
      </c>
      <c r="H13" s="432" t="s">
        <v>907</v>
      </c>
      <c r="I13" s="423" t="s">
        <v>908</v>
      </c>
      <c r="J13" s="423" t="s">
        <v>888</v>
      </c>
      <c r="K13" s="424" t="s">
        <v>889</v>
      </c>
      <c r="L13" s="422" t="s">
        <v>912</v>
      </c>
      <c r="M13" s="425">
        <v>960000</v>
      </c>
      <c r="N13" s="425">
        <f>M13*НДС!$A$1</f>
        <v>1113600</v>
      </c>
      <c r="O13" s="426" t="s">
        <v>910</v>
      </c>
      <c r="P13" s="422"/>
      <c r="Q13" s="429" t="s">
        <v>65</v>
      </c>
      <c r="R13" s="423">
        <f>IF(Таблица68[[#This Row],[Столбец2]]="A",1,IF(Таблица68[[#This Row],[Столбец2]]="B",2,IF(Таблица68[[#This Row],[Столбец2]]="C",3)))</f>
        <v>3</v>
      </c>
      <c r="S13" s="413" t="s">
        <v>878</v>
      </c>
    </row>
    <row r="14" spans="1:20" ht="28">
      <c r="A14" s="420" t="s">
        <v>621</v>
      </c>
      <c r="B14" s="422" t="s">
        <v>913</v>
      </c>
      <c r="C14" s="422" t="s">
        <v>914</v>
      </c>
      <c r="D14" s="423" t="s">
        <v>906</v>
      </c>
      <c r="E14" s="423" t="str">
        <f>RIGHT(Таблица68[[#This Row],[Полное  наименование]],7)</f>
        <v>PMLX 50</v>
      </c>
      <c r="F14" s="423" t="s">
        <v>257</v>
      </c>
      <c r="G14" s="423">
        <v>50</v>
      </c>
      <c r="H14" s="432" t="s">
        <v>907</v>
      </c>
      <c r="I14" s="423" t="s">
        <v>908</v>
      </c>
      <c r="J14" s="423" t="s">
        <v>888</v>
      </c>
      <c r="K14" s="424" t="s">
        <v>889</v>
      </c>
      <c r="L14" s="422" t="s">
        <v>915</v>
      </c>
      <c r="M14" s="425">
        <v>1020000</v>
      </c>
      <c r="N14" s="425">
        <f>M14*НДС!$A$1</f>
        <v>1183200</v>
      </c>
      <c r="O14" s="426" t="s">
        <v>910</v>
      </c>
      <c r="P14" s="422"/>
      <c r="Q14" s="429" t="s">
        <v>65</v>
      </c>
      <c r="R14" s="423">
        <f>IF(Таблица68[[#This Row],[Столбец2]]="A",1,IF(Таблица68[[#This Row],[Столбец2]]="B",2,IF(Таблица68[[#This Row],[Столбец2]]="C",3)))</f>
        <v>3</v>
      </c>
      <c r="S14" s="413" t="s">
        <v>878</v>
      </c>
    </row>
    <row r="15" spans="1:20" ht="28">
      <c r="A15" s="420" t="s">
        <v>622</v>
      </c>
      <c r="B15" s="422" t="s">
        <v>904</v>
      </c>
      <c r="C15" s="422" t="s">
        <v>916</v>
      </c>
      <c r="D15" s="423" t="s">
        <v>906</v>
      </c>
      <c r="E15" s="423" t="str">
        <f>RIGHT(Таблица68[[#This Row],[Полное  наименование]],7)</f>
        <v>PMLX 65</v>
      </c>
      <c r="F15" s="423" t="s">
        <v>257</v>
      </c>
      <c r="G15" s="423">
        <v>65</v>
      </c>
      <c r="H15" s="432" t="s">
        <v>907</v>
      </c>
      <c r="I15" s="423" t="s">
        <v>908</v>
      </c>
      <c r="J15" s="423" t="s">
        <v>888</v>
      </c>
      <c r="K15" s="424" t="s">
        <v>889</v>
      </c>
      <c r="L15" s="422" t="s">
        <v>917</v>
      </c>
      <c r="M15" s="425">
        <v>1194000</v>
      </c>
      <c r="N15" s="425">
        <f>M15*НДС!$A$1</f>
        <v>1385040</v>
      </c>
      <c r="O15" s="426" t="s">
        <v>910</v>
      </c>
      <c r="P15" s="433"/>
      <c r="Q15" s="429" t="s">
        <v>65</v>
      </c>
      <c r="R15" s="423">
        <f>IF(Таблица68[[#This Row],[Столбец2]]="A",1,IF(Таблица68[[#This Row],[Столбец2]]="B",2,IF(Таблица68[[#This Row],[Столбец2]]="C",3)))</f>
        <v>3</v>
      </c>
      <c r="S15" s="413" t="s">
        <v>878</v>
      </c>
    </row>
    <row r="16" spans="1:20" ht="28">
      <c r="A16" s="420" t="s">
        <v>623</v>
      </c>
      <c r="B16" s="422" t="s">
        <v>904</v>
      </c>
      <c r="C16" s="422" t="s">
        <v>918</v>
      </c>
      <c r="D16" s="423" t="s">
        <v>906</v>
      </c>
      <c r="E16" s="423" t="str">
        <f>RIGHT(Таблица68[[#This Row],[Полное  наименование]],7)</f>
        <v>PMLX 80</v>
      </c>
      <c r="F16" s="423" t="s">
        <v>257</v>
      </c>
      <c r="G16" s="423">
        <v>80</v>
      </c>
      <c r="H16" s="432" t="s">
        <v>907</v>
      </c>
      <c r="I16" s="423" t="s">
        <v>908</v>
      </c>
      <c r="J16" s="423" t="s">
        <v>888</v>
      </c>
      <c r="K16" s="424" t="s">
        <v>889</v>
      </c>
      <c r="L16" s="422" t="s">
        <v>919</v>
      </c>
      <c r="M16" s="425">
        <v>1740000</v>
      </c>
      <c r="N16" s="425">
        <f>M16*НДС!$A$1</f>
        <v>2018399.9999999998</v>
      </c>
      <c r="O16" s="426" t="s">
        <v>910</v>
      </c>
      <c r="P16" s="422"/>
      <c r="Q16" s="429" t="s">
        <v>65</v>
      </c>
      <c r="R16" s="423">
        <f>IF(Таблица68[[#This Row],[Столбец2]]="A",1,IF(Таблица68[[#This Row],[Столбец2]]="B",2,IF(Таблица68[[#This Row],[Столбец2]]="C",3)))</f>
        <v>3</v>
      </c>
      <c r="S16" s="413" t="s">
        <v>878</v>
      </c>
    </row>
    <row r="17" spans="1:19" ht="28">
      <c r="A17" s="420" t="s">
        <v>624</v>
      </c>
      <c r="B17" s="422" t="s">
        <v>904</v>
      </c>
      <c r="C17" s="422" t="s">
        <v>920</v>
      </c>
      <c r="D17" s="423" t="s">
        <v>906</v>
      </c>
      <c r="E17" s="423" t="str">
        <f>RIGHT(Таблица68[[#This Row],[Полное  наименование]],8)</f>
        <v>PMLX 100</v>
      </c>
      <c r="F17" s="423" t="s">
        <v>257</v>
      </c>
      <c r="G17" s="423">
        <v>100</v>
      </c>
      <c r="H17" s="432" t="s">
        <v>907</v>
      </c>
      <c r="I17" s="423" t="s">
        <v>908</v>
      </c>
      <c r="J17" s="423" t="s">
        <v>888</v>
      </c>
      <c r="K17" s="424" t="s">
        <v>889</v>
      </c>
      <c r="L17" s="422" t="s">
        <v>921</v>
      </c>
      <c r="M17" s="425">
        <v>2490000</v>
      </c>
      <c r="N17" s="425">
        <f>M17*НДС!$A$1</f>
        <v>2888400</v>
      </c>
      <c r="O17" s="426" t="s">
        <v>910</v>
      </c>
      <c r="P17" s="422"/>
      <c r="Q17" s="429" t="s">
        <v>65</v>
      </c>
      <c r="R17" s="423">
        <f>IF(Таблица68[[#This Row],[Столбец2]]="A",1,IF(Таблица68[[#This Row],[Столбец2]]="B",2,IF(Таблица68[[#This Row],[Столбец2]]="C",3)))</f>
        <v>3</v>
      </c>
      <c r="S17" s="413" t="s">
        <v>878</v>
      </c>
    </row>
    <row r="18" spans="1:19" ht="25">
      <c r="A18" s="420" t="s">
        <v>625</v>
      </c>
      <c r="B18" s="422" t="s">
        <v>904</v>
      </c>
      <c r="C18" s="422" t="s">
        <v>922</v>
      </c>
      <c r="D18" s="423" t="s">
        <v>906</v>
      </c>
      <c r="E18" s="423" t="str">
        <f>RIGHT(Таблица68[[#This Row],[Полное  наименование]],8)</f>
        <v>PMLX 125</v>
      </c>
      <c r="F18" s="423" t="s">
        <v>257</v>
      </c>
      <c r="G18" s="423">
        <v>125</v>
      </c>
      <c r="H18" s="432">
        <v>52</v>
      </c>
      <c r="I18" s="423" t="s">
        <v>923</v>
      </c>
      <c r="J18" s="423" t="s">
        <v>924</v>
      </c>
      <c r="K18" s="424" t="s">
        <v>925</v>
      </c>
      <c r="L18" s="422"/>
      <c r="M18" s="425">
        <v>4020000</v>
      </c>
      <c r="N18" s="425">
        <f>M18*НДС!$A$1</f>
        <v>4663200</v>
      </c>
      <c r="O18" s="426" t="s">
        <v>910</v>
      </c>
      <c r="P18" s="422"/>
      <c r="Q18" s="429" t="s">
        <v>65</v>
      </c>
      <c r="R18" s="423">
        <f>IF(Таблица68[[#This Row],[Столбец2]]="A",1,IF(Таблица68[[#This Row],[Столбец2]]="B",2,IF(Таблица68[[#This Row],[Столбец2]]="C",3)))</f>
        <v>2</v>
      </c>
      <c r="S18" s="430" t="s">
        <v>882</v>
      </c>
    </row>
    <row r="19" spans="1:19" ht="25">
      <c r="A19" s="420" t="s">
        <v>582</v>
      </c>
      <c r="B19" s="422" t="s">
        <v>904</v>
      </c>
      <c r="C19" s="422" t="s">
        <v>926</v>
      </c>
      <c r="D19" s="423" t="s">
        <v>927</v>
      </c>
      <c r="E19" s="423" t="s">
        <v>928</v>
      </c>
      <c r="F19" s="423" t="s">
        <v>257</v>
      </c>
      <c r="G19" s="423">
        <v>32</v>
      </c>
      <c r="H19" s="423">
        <v>52</v>
      </c>
      <c r="I19" s="423" t="s">
        <v>923</v>
      </c>
      <c r="J19" s="423" t="s">
        <v>924</v>
      </c>
      <c r="K19" s="424" t="s">
        <v>925</v>
      </c>
      <c r="L19" s="422" t="s">
        <v>929</v>
      </c>
      <c r="M19" s="425">
        <v>1200000</v>
      </c>
      <c r="N19" s="425">
        <f>M19*НДС!$A$1</f>
        <v>1392000</v>
      </c>
      <c r="O19" s="426" t="s">
        <v>910</v>
      </c>
      <c r="P19" s="422"/>
      <c r="Q19" s="429" t="s">
        <v>65</v>
      </c>
      <c r="R19" s="423">
        <f>IF(Таблица68[[#This Row],[Столбец2]]="A",1,IF(Таблица68[[#This Row],[Столбец2]]="B",2,IF(Таблица68[[#This Row],[Столбец2]]="C",3)))</f>
        <v>3</v>
      </c>
      <c r="S19" s="413" t="s">
        <v>878</v>
      </c>
    </row>
    <row r="20" spans="1:19" ht="25">
      <c r="A20" s="420" t="s">
        <v>583</v>
      </c>
      <c r="B20" s="422" t="s">
        <v>904</v>
      </c>
      <c r="C20" s="422" t="s">
        <v>930</v>
      </c>
      <c r="D20" s="423" t="s">
        <v>927</v>
      </c>
      <c r="E20" s="423" t="s">
        <v>931</v>
      </c>
      <c r="F20" s="423" t="s">
        <v>257</v>
      </c>
      <c r="G20" s="423">
        <v>40</v>
      </c>
      <c r="H20" s="423">
        <v>52</v>
      </c>
      <c r="I20" s="423" t="s">
        <v>923</v>
      </c>
      <c r="J20" s="423" t="s">
        <v>924</v>
      </c>
      <c r="K20" s="424" t="s">
        <v>925</v>
      </c>
      <c r="L20" s="422" t="s">
        <v>932</v>
      </c>
      <c r="M20" s="425">
        <v>1230000</v>
      </c>
      <c r="N20" s="425">
        <f>M20*НДС!$A$1</f>
        <v>1426800</v>
      </c>
      <c r="O20" s="426" t="s">
        <v>910</v>
      </c>
      <c r="P20" s="422"/>
      <c r="Q20" s="429" t="s">
        <v>65</v>
      </c>
      <c r="R20" s="423">
        <f>IF(Таблица68[[#This Row],[Столбец2]]="A",1,IF(Таблица68[[#This Row],[Столбец2]]="B",2,IF(Таблица68[[#This Row],[Столбец2]]="C",3)))</f>
        <v>3</v>
      </c>
      <c r="S20" s="413" t="s">
        <v>878</v>
      </c>
    </row>
    <row r="21" spans="1:19" ht="25">
      <c r="A21" s="420" t="s">
        <v>584</v>
      </c>
      <c r="B21" s="422" t="s">
        <v>913</v>
      </c>
      <c r="C21" s="422" t="s">
        <v>933</v>
      </c>
      <c r="D21" s="423" t="s">
        <v>927</v>
      </c>
      <c r="E21" s="423" t="s">
        <v>934</v>
      </c>
      <c r="F21" s="423" t="s">
        <v>257</v>
      </c>
      <c r="G21" s="423">
        <v>50</v>
      </c>
      <c r="H21" s="423">
        <v>52</v>
      </c>
      <c r="I21" s="423" t="s">
        <v>923</v>
      </c>
      <c r="J21" s="423" t="s">
        <v>924</v>
      </c>
      <c r="K21" s="424" t="s">
        <v>925</v>
      </c>
      <c r="L21" s="422" t="s">
        <v>935</v>
      </c>
      <c r="M21" s="425">
        <v>1320000</v>
      </c>
      <c r="N21" s="425">
        <f>M21*НДС!$A$1</f>
        <v>1531200</v>
      </c>
      <c r="O21" s="426" t="s">
        <v>910</v>
      </c>
      <c r="P21" s="422"/>
      <c r="Q21" s="429" t="s">
        <v>65</v>
      </c>
      <c r="R21" s="423">
        <f>IF(Таблица68[[#This Row],[Столбец2]]="A",1,IF(Таблица68[[#This Row],[Столбец2]]="B",2,IF(Таблица68[[#This Row],[Столбец2]]="C",3)))</f>
        <v>3</v>
      </c>
      <c r="S21" s="413" t="s">
        <v>878</v>
      </c>
    </row>
    <row r="22" spans="1:19" ht="25">
      <c r="A22" s="420" t="s">
        <v>585</v>
      </c>
      <c r="B22" s="422" t="s">
        <v>904</v>
      </c>
      <c r="C22" s="422" t="s">
        <v>936</v>
      </c>
      <c r="D22" s="423" t="s">
        <v>927</v>
      </c>
      <c r="E22" s="423" t="s">
        <v>937</v>
      </c>
      <c r="F22" s="423" t="s">
        <v>257</v>
      </c>
      <c r="G22" s="423">
        <v>65</v>
      </c>
      <c r="H22" s="423">
        <v>52</v>
      </c>
      <c r="I22" s="423" t="s">
        <v>923</v>
      </c>
      <c r="J22" s="423" t="s">
        <v>924</v>
      </c>
      <c r="K22" s="424" t="s">
        <v>925</v>
      </c>
      <c r="L22" s="422" t="s">
        <v>938</v>
      </c>
      <c r="M22" s="425">
        <v>1650000</v>
      </c>
      <c r="N22" s="425">
        <f>M22*НДС!$A$1</f>
        <v>1913999.9999999998</v>
      </c>
      <c r="O22" s="426" t="s">
        <v>910</v>
      </c>
      <c r="P22" s="422"/>
      <c r="Q22" s="429" t="s">
        <v>65</v>
      </c>
      <c r="R22" s="423">
        <f>IF(Таблица68[[#This Row],[Столбец2]]="A",1,IF(Таблица68[[#This Row],[Столбец2]]="B",2,IF(Таблица68[[#This Row],[Столбец2]]="C",3)))</f>
        <v>3</v>
      </c>
      <c r="S22" s="413" t="s">
        <v>878</v>
      </c>
    </row>
    <row r="23" spans="1:19" ht="25">
      <c r="A23" s="420" t="s">
        <v>586</v>
      </c>
      <c r="B23" s="422" t="s">
        <v>904</v>
      </c>
      <c r="C23" s="422" t="s">
        <v>939</v>
      </c>
      <c r="D23" s="423" t="s">
        <v>927</v>
      </c>
      <c r="E23" s="423" t="s">
        <v>940</v>
      </c>
      <c r="F23" s="423" t="s">
        <v>257</v>
      </c>
      <c r="G23" s="423">
        <v>80</v>
      </c>
      <c r="H23" s="423">
        <v>52</v>
      </c>
      <c r="I23" s="423" t="s">
        <v>923</v>
      </c>
      <c r="J23" s="423" t="s">
        <v>924</v>
      </c>
      <c r="K23" s="424" t="s">
        <v>925</v>
      </c>
      <c r="L23" s="422" t="s">
        <v>941</v>
      </c>
      <c r="M23" s="425">
        <v>2100000</v>
      </c>
      <c r="N23" s="425">
        <f>M23*НДС!$A$1</f>
        <v>2436000</v>
      </c>
      <c r="O23" s="426" t="s">
        <v>910</v>
      </c>
      <c r="P23" s="422"/>
      <c r="Q23" s="429" t="s">
        <v>65</v>
      </c>
      <c r="R23" s="423">
        <f>IF(Таблица68[[#This Row],[Столбец2]]="A",1,IF(Таблица68[[#This Row],[Столбец2]]="B",2,IF(Таблица68[[#This Row],[Столбец2]]="C",3)))</f>
        <v>3</v>
      </c>
      <c r="S23" s="413" t="s">
        <v>878</v>
      </c>
    </row>
    <row r="24" spans="1:19" ht="25">
      <c r="A24" s="420" t="s">
        <v>587</v>
      </c>
      <c r="B24" s="422" t="s">
        <v>904</v>
      </c>
      <c r="C24" s="422" t="s">
        <v>942</v>
      </c>
      <c r="D24" s="423" t="s">
        <v>927</v>
      </c>
      <c r="E24" s="423" t="s">
        <v>943</v>
      </c>
      <c r="F24" s="423" t="s">
        <v>257</v>
      </c>
      <c r="G24" s="423">
        <v>100</v>
      </c>
      <c r="H24" s="423">
        <v>52</v>
      </c>
      <c r="I24" s="423" t="s">
        <v>923</v>
      </c>
      <c r="J24" s="423" t="s">
        <v>924</v>
      </c>
      <c r="K24" s="424" t="s">
        <v>925</v>
      </c>
      <c r="L24" s="422" t="s">
        <v>944</v>
      </c>
      <c r="M24" s="425">
        <v>2940000</v>
      </c>
      <c r="N24" s="425">
        <f>M24*НДС!$A$1</f>
        <v>3410399.9999999995</v>
      </c>
      <c r="O24" s="426" t="s">
        <v>910</v>
      </c>
      <c r="P24" s="422"/>
      <c r="Q24" s="429" t="s">
        <v>65</v>
      </c>
      <c r="R24" s="423">
        <f>IF(Таблица68[[#This Row],[Столбец2]]="A",1,IF(Таблица68[[#This Row],[Столбец2]]="B",2,IF(Таблица68[[#This Row],[Столбец2]]="C",3)))</f>
        <v>3</v>
      </c>
      <c r="S24" s="413" t="s">
        <v>878</v>
      </c>
    </row>
    <row r="25" spans="1:19" ht="25">
      <c r="A25" s="420" t="s">
        <v>588</v>
      </c>
      <c r="B25" s="422" t="s">
        <v>904</v>
      </c>
      <c r="C25" s="422" t="s">
        <v>945</v>
      </c>
      <c r="D25" s="423" t="s">
        <v>927</v>
      </c>
      <c r="E25" s="423" t="s">
        <v>946</v>
      </c>
      <c r="F25" s="423" t="s">
        <v>257</v>
      </c>
      <c r="G25" s="423">
        <v>125</v>
      </c>
      <c r="H25" s="423">
        <v>52</v>
      </c>
      <c r="I25" s="423" t="s">
        <v>923</v>
      </c>
      <c r="J25" s="423" t="s">
        <v>924</v>
      </c>
      <c r="K25" s="424" t="s">
        <v>925</v>
      </c>
      <c r="L25" s="422" t="s">
        <v>947</v>
      </c>
      <c r="M25" s="425">
        <v>4020000</v>
      </c>
      <c r="N25" s="425">
        <f>M25*НДС!$A$1</f>
        <v>4663200</v>
      </c>
      <c r="O25" s="426" t="s">
        <v>910</v>
      </c>
      <c r="P25" s="422"/>
      <c r="Q25" s="429" t="s">
        <v>65</v>
      </c>
      <c r="R25" s="423">
        <f>IF(Таблица68[[#This Row],[Столбец2]]="A",1,IF(Таблица68[[#This Row],[Столбец2]]="B",2,IF(Таблица68[[#This Row],[Столбец2]]="C",3)))</f>
        <v>3</v>
      </c>
      <c r="S25" s="413" t="s">
        <v>878</v>
      </c>
    </row>
    <row r="26" spans="1:19" ht="25">
      <c r="A26" s="420" t="s">
        <v>589</v>
      </c>
      <c r="B26" s="422" t="s">
        <v>904</v>
      </c>
      <c r="C26" s="422" t="s">
        <v>948</v>
      </c>
      <c r="D26" s="423" t="s">
        <v>927</v>
      </c>
      <c r="E26" s="423" t="s">
        <v>949</v>
      </c>
      <c r="F26" s="423" t="s">
        <v>257</v>
      </c>
      <c r="G26" s="423">
        <v>150</v>
      </c>
      <c r="H26" s="423">
        <v>52</v>
      </c>
      <c r="I26" s="423" t="s">
        <v>923</v>
      </c>
      <c r="J26" s="423" t="s">
        <v>924</v>
      </c>
      <c r="K26" s="424" t="s">
        <v>925</v>
      </c>
      <c r="L26" s="422" t="s">
        <v>950</v>
      </c>
      <c r="M26" s="425">
        <v>5940000</v>
      </c>
      <c r="N26" s="425">
        <f>M26*НДС!$A$1</f>
        <v>6890399.9999999991</v>
      </c>
      <c r="O26" s="426" t="s">
        <v>910</v>
      </c>
      <c r="P26" s="422"/>
      <c r="Q26" s="429" t="s">
        <v>65</v>
      </c>
      <c r="R26" s="423">
        <f>IF(Таблица68[[#This Row],[Столбец2]]="A",1,IF(Таблица68[[#This Row],[Столбец2]]="B",2,IF(Таблица68[[#This Row],[Столбец2]]="C",3)))</f>
        <v>3</v>
      </c>
      <c r="S26" s="413" t="s">
        <v>878</v>
      </c>
    </row>
    <row r="27" spans="1:19" ht="28">
      <c r="A27" s="420" t="s">
        <v>559</v>
      </c>
      <c r="B27" s="422" t="s">
        <v>951</v>
      </c>
      <c r="C27" s="422" t="s">
        <v>952</v>
      </c>
      <c r="D27" s="423" t="s">
        <v>823</v>
      </c>
      <c r="E27" s="423" t="str">
        <f>RIGHT(Таблица68[[#This Row],[Полное  наименование]],7)</f>
        <v>PM 20 D</v>
      </c>
      <c r="F27" s="423" t="s">
        <v>257</v>
      </c>
      <c r="G27" s="423">
        <v>20</v>
      </c>
      <c r="H27" s="432" t="s">
        <v>907</v>
      </c>
      <c r="I27" s="423" t="s">
        <v>908</v>
      </c>
      <c r="J27" s="423" t="s">
        <v>888</v>
      </c>
      <c r="K27" s="424" t="s">
        <v>889</v>
      </c>
      <c r="L27" s="422" t="s">
        <v>953</v>
      </c>
      <c r="M27" s="425">
        <v>240000</v>
      </c>
      <c r="N27" s="425">
        <f>M27*НДС!$A$1</f>
        <v>278400</v>
      </c>
      <c r="O27" s="426" t="s">
        <v>70</v>
      </c>
      <c r="P27" s="422"/>
      <c r="Q27" s="431" t="s">
        <v>61</v>
      </c>
      <c r="R27" s="423">
        <f>IF(Таблица68[[#This Row],[Столбец2]]="A",1,IF(Таблица68[[#This Row],[Столбец2]]="B",2,IF(Таблица68[[#This Row],[Столбец2]]="C",3)))</f>
        <v>2</v>
      </c>
      <c r="S27" s="413" t="s">
        <v>882</v>
      </c>
    </row>
    <row r="28" spans="1:19" ht="28">
      <c r="A28" s="420" t="s">
        <v>561</v>
      </c>
      <c r="B28" s="422" t="s">
        <v>951</v>
      </c>
      <c r="C28" s="422" t="s">
        <v>954</v>
      </c>
      <c r="D28" s="423" t="s">
        <v>823</v>
      </c>
      <c r="E28" s="423" t="str">
        <f>RIGHT(Таблица68[[#This Row],[Полное  наименование]],7)</f>
        <v>PM 25 D</v>
      </c>
      <c r="F28" s="423" t="s">
        <v>257</v>
      </c>
      <c r="G28" s="423">
        <v>25</v>
      </c>
      <c r="H28" s="432" t="s">
        <v>907</v>
      </c>
      <c r="I28" s="423" t="s">
        <v>908</v>
      </c>
      <c r="J28" s="423" t="s">
        <v>888</v>
      </c>
      <c r="K28" s="424" t="s">
        <v>889</v>
      </c>
      <c r="L28" s="422" t="s">
        <v>955</v>
      </c>
      <c r="M28" s="425">
        <v>330000</v>
      </c>
      <c r="N28" s="425">
        <f>M28*НДС!$A$1</f>
        <v>382800</v>
      </c>
      <c r="O28" s="426" t="s">
        <v>70</v>
      </c>
      <c r="P28" s="422"/>
      <c r="Q28" s="431" t="s">
        <v>61</v>
      </c>
      <c r="R28" s="423">
        <f>IF(Таблица68[[#This Row],[Столбец2]]="A",1,IF(Таблица68[[#This Row],[Столбец2]]="B",2,IF(Таблица68[[#This Row],[Столбец2]]="C",3)))</f>
        <v>2</v>
      </c>
      <c r="S28" s="413" t="s">
        <v>882</v>
      </c>
    </row>
    <row r="29" spans="1:19" ht="28">
      <c r="A29" s="420" t="s">
        <v>563</v>
      </c>
      <c r="B29" s="422" t="s">
        <v>951</v>
      </c>
      <c r="C29" s="422" t="s">
        <v>956</v>
      </c>
      <c r="D29" s="423" t="s">
        <v>823</v>
      </c>
      <c r="E29" s="423" t="str">
        <f>RIGHT(Таблица68[[#This Row],[Полное  наименование]],7)</f>
        <v>PM 32 D</v>
      </c>
      <c r="F29" s="423" t="s">
        <v>257</v>
      </c>
      <c r="G29" s="423">
        <v>32</v>
      </c>
      <c r="H29" s="432" t="s">
        <v>907</v>
      </c>
      <c r="I29" s="423" t="s">
        <v>908</v>
      </c>
      <c r="J29" s="423" t="s">
        <v>888</v>
      </c>
      <c r="K29" s="424" t="s">
        <v>889</v>
      </c>
      <c r="L29" s="422" t="s">
        <v>957</v>
      </c>
      <c r="M29" s="425">
        <v>408000</v>
      </c>
      <c r="N29" s="425">
        <f>M29*НДС!$A$1</f>
        <v>473279.99999999994</v>
      </c>
      <c r="O29" s="426" t="s">
        <v>70</v>
      </c>
      <c r="P29" s="422"/>
      <c r="Q29" s="431" t="s">
        <v>61</v>
      </c>
      <c r="R29" s="423">
        <f>IF(Таблица68[[#This Row],[Столбец2]]="A",1,IF(Таблица68[[#This Row],[Столбец2]]="B",2,IF(Таблица68[[#This Row],[Столбец2]]="C",3)))</f>
        <v>2</v>
      </c>
      <c r="S29" s="413" t="s">
        <v>882</v>
      </c>
    </row>
    <row r="30" spans="1:19" ht="28">
      <c r="A30" s="420" t="s">
        <v>565</v>
      </c>
      <c r="B30" s="422" t="s">
        <v>951</v>
      </c>
      <c r="C30" s="422" t="s">
        <v>958</v>
      </c>
      <c r="D30" s="423" t="s">
        <v>823</v>
      </c>
      <c r="E30" s="423" t="str">
        <f>RIGHT(Таблица68[[#This Row],[Полное  наименование]],7)</f>
        <v>PM 40 D</v>
      </c>
      <c r="F30" s="423" t="s">
        <v>257</v>
      </c>
      <c r="G30" s="423">
        <v>40</v>
      </c>
      <c r="H30" s="432" t="s">
        <v>907</v>
      </c>
      <c r="I30" s="423" t="s">
        <v>908</v>
      </c>
      <c r="J30" s="423" t="s">
        <v>888</v>
      </c>
      <c r="K30" s="424" t="s">
        <v>889</v>
      </c>
      <c r="L30" s="422" t="s">
        <v>959</v>
      </c>
      <c r="M30" s="425">
        <v>468000</v>
      </c>
      <c r="N30" s="425">
        <f>M30*НДС!$A$1</f>
        <v>542880</v>
      </c>
      <c r="O30" s="426" t="s">
        <v>70</v>
      </c>
      <c r="P30" s="422"/>
      <c r="Q30" s="431" t="s">
        <v>61</v>
      </c>
      <c r="R30" s="423">
        <f>IF(Таблица68[[#This Row],[Столбец2]]="A",1,IF(Таблица68[[#This Row],[Столбец2]]="B",2,IF(Таблица68[[#This Row],[Столбец2]]="C",3)))</f>
        <v>2</v>
      </c>
      <c r="S30" s="413" t="s">
        <v>882</v>
      </c>
    </row>
    <row r="31" spans="1:19" ht="28">
      <c r="A31" s="420" t="s">
        <v>567</v>
      </c>
      <c r="B31" s="422" t="s">
        <v>951</v>
      </c>
      <c r="C31" s="422" t="s">
        <v>960</v>
      </c>
      <c r="D31" s="423" t="s">
        <v>823</v>
      </c>
      <c r="E31" s="423" t="str">
        <f>RIGHT(Таблица68[[#This Row],[Полное  наименование]],7)</f>
        <v>PM 50 D</v>
      </c>
      <c r="F31" s="423" t="s">
        <v>257</v>
      </c>
      <c r="G31" s="423">
        <v>50</v>
      </c>
      <c r="H31" s="432" t="s">
        <v>907</v>
      </c>
      <c r="I31" s="423" t="s">
        <v>908</v>
      </c>
      <c r="J31" s="423" t="s">
        <v>888</v>
      </c>
      <c r="K31" s="424" t="s">
        <v>889</v>
      </c>
      <c r="L31" s="422" t="s">
        <v>961</v>
      </c>
      <c r="M31" s="425">
        <v>546000</v>
      </c>
      <c r="N31" s="425">
        <f>M31*НДС!$A$1</f>
        <v>633360</v>
      </c>
      <c r="O31" s="426" t="s">
        <v>70</v>
      </c>
      <c r="P31" s="422"/>
      <c r="Q31" s="431" t="s">
        <v>61</v>
      </c>
      <c r="R31" s="423">
        <f>IF(Таблица68[[#This Row],[Столбец2]]="A",1,IF(Таблица68[[#This Row],[Столбец2]]="B",2,IF(Таблица68[[#This Row],[Столбец2]]="C",3)))</f>
        <v>2</v>
      </c>
      <c r="S31" s="413" t="s">
        <v>882</v>
      </c>
    </row>
    <row r="32" spans="1:19" ht="28">
      <c r="A32" s="420" t="s">
        <v>569</v>
      </c>
      <c r="B32" s="422" t="s">
        <v>951</v>
      </c>
      <c r="C32" s="422" t="s">
        <v>962</v>
      </c>
      <c r="D32" s="423" t="s">
        <v>823</v>
      </c>
      <c r="E32" s="423" t="str">
        <f>RIGHT(Таблица68[[#This Row],[Полное  наименование]],7)</f>
        <v>PM 65 D</v>
      </c>
      <c r="F32" s="423" t="s">
        <v>257</v>
      </c>
      <c r="G32" s="423">
        <v>65</v>
      </c>
      <c r="H32" s="432" t="s">
        <v>907</v>
      </c>
      <c r="I32" s="423" t="s">
        <v>908</v>
      </c>
      <c r="J32" s="423" t="s">
        <v>888</v>
      </c>
      <c r="K32" s="424" t="s">
        <v>889</v>
      </c>
      <c r="L32" s="422" t="s">
        <v>963</v>
      </c>
      <c r="M32" s="425">
        <v>690000</v>
      </c>
      <c r="N32" s="425">
        <f>M32*НДС!$A$1</f>
        <v>800400</v>
      </c>
      <c r="O32" s="426" t="s">
        <v>70</v>
      </c>
      <c r="P32" s="422"/>
      <c r="Q32" s="431" t="s">
        <v>61</v>
      </c>
      <c r="R32" s="423">
        <f>IF(Таблица68[[#This Row],[Столбец2]]="A",1,IF(Таблица68[[#This Row],[Столбец2]]="B",2,IF(Таблица68[[#This Row],[Столбец2]]="C",3)))</f>
        <v>2</v>
      </c>
      <c r="S32" s="413" t="s">
        <v>882</v>
      </c>
    </row>
    <row r="33" spans="1:19" ht="28">
      <c r="A33" s="420" t="s">
        <v>570</v>
      </c>
      <c r="B33" s="422" t="s">
        <v>951</v>
      </c>
      <c r="C33" s="422" t="s">
        <v>964</v>
      </c>
      <c r="D33" s="423" t="s">
        <v>823</v>
      </c>
      <c r="E33" s="423" t="str">
        <f>RIGHT(Таблица68[[#This Row],[Полное  наименование]],7)</f>
        <v>PM 80 D</v>
      </c>
      <c r="F33" s="423" t="s">
        <v>257</v>
      </c>
      <c r="G33" s="423">
        <v>80</v>
      </c>
      <c r="H33" s="432" t="s">
        <v>907</v>
      </c>
      <c r="I33" s="423" t="s">
        <v>908</v>
      </c>
      <c r="J33" s="423" t="s">
        <v>888</v>
      </c>
      <c r="K33" s="424" t="s">
        <v>889</v>
      </c>
      <c r="L33" s="422" t="s">
        <v>965</v>
      </c>
      <c r="M33" s="425">
        <v>972000</v>
      </c>
      <c r="N33" s="425">
        <f>M33*НДС!$A$1</f>
        <v>1127520</v>
      </c>
      <c r="O33" s="426" t="s">
        <v>70</v>
      </c>
      <c r="P33" s="422"/>
      <c r="Q33" s="431" t="s">
        <v>61</v>
      </c>
      <c r="R33" s="423">
        <f>IF(Таблица68[[#This Row],[Столбец2]]="A",1,IF(Таблица68[[#This Row],[Столбец2]]="B",2,IF(Таблица68[[#This Row],[Столбец2]]="C",3)))</f>
        <v>2</v>
      </c>
      <c r="S33" s="413" t="s">
        <v>882</v>
      </c>
    </row>
    <row r="34" spans="1:19" ht="28">
      <c r="A34" s="420" t="s">
        <v>571</v>
      </c>
      <c r="B34" s="422" t="s">
        <v>951</v>
      </c>
      <c r="C34" s="422" t="s">
        <v>966</v>
      </c>
      <c r="D34" s="423" t="s">
        <v>823</v>
      </c>
      <c r="E34" s="423" t="str">
        <f>RIGHT(Таблица68[[#This Row],[Полное  наименование]],8)</f>
        <v>PM 100 D</v>
      </c>
      <c r="F34" s="423" t="s">
        <v>257</v>
      </c>
      <c r="G34" s="423">
        <v>100</v>
      </c>
      <c r="H34" s="432" t="s">
        <v>907</v>
      </c>
      <c r="I34" s="423" t="s">
        <v>908</v>
      </c>
      <c r="J34" s="423" t="s">
        <v>888</v>
      </c>
      <c r="K34" s="424" t="s">
        <v>889</v>
      </c>
      <c r="L34" s="422" t="s">
        <v>967</v>
      </c>
      <c r="M34" s="425">
        <v>1410000</v>
      </c>
      <c r="N34" s="425">
        <f>M34*НДС!$A$1</f>
        <v>1635600</v>
      </c>
      <c r="O34" s="426" t="s">
        <v>70</v>
      </c>
      <c r="P34" s="422"/>
      <c r="Q34" s="431" t="s">
        <v>61</v>
      </c>
      <c r="R34" s="423">
        <f>IF(Таблица68[[#This Row],[Столбец2]]="A",1,IF(Таблица68[[#This Row],[Столбец2]]="B",2,IF(Таблица68[[#This Row],[Столбец2]]="C",3)))</f>
        <v>2</v>
      </c>
      <c r="S34" s="413" t="s">
        <v>882</v>
      </c>
    </row>
    <row r="35" spans="1:19" ht="30.75" customHeight="1">
      <c r="A35" s="420" t="s">
        <v>512</v>
      </c>
      <c r="B35" s="422" t="s">
        <v>951</v>
      </c>
      <c r="C35" s="422" t="s">
        <v>968</v>
      </c>
      <c r="D35" s="423" t="s">
        <v>969</v>
      </c>
      <c r="E35" s="423" t="s">
        <v>970</v>
      </c>
      <c r="F35" s="423" t="s">
        <v>257</v>
      </c>
      <c r="G35" s="423">
        <v>20</v>
      </c>
      <c r="H35" s="423">
        <v>52</v>
      </c>
      <c r="I35" s="423" t="s">
        <v>923</v>
      </c>
      <c r="J35" s="423" t="s">
        <v>924</v>
      </c>
      <c r="K35" s="424" t="s">
        <v>925</v>
      </c>
      <c r="L35" s="422" t="s">
        <v>971</v>
      </c>
      <c r="M35" s="425">
        <v>294000</v>
      </c>
      <c r="N35" s="425">
        <f>M35*НДС!$A$1</f>
        <v>341040</v>
      </c>
      <c r="O35" s="426" t="s">
        <v>70</v>
      </c>
      <c r="P35" s="422"/>
      <c r="Q35" s="434" t="s">
        <v>61</v>
      </c>
      <c r="R35" s="423">
        <f>IF(Таблица68[[#This Row],[Столбец2]]="A",1,IF(Таблица68[[#This Row],[Столбец2]]="B",2,IF(Таблица68[[#This Row],[Столбец2]]="C",3)))</f>
        <v>2</v>
      </c>
      <c r="S35" s="413" t="s">
        <v>882</v>
      </c>
    </row>
    <row r="36" spans="1:19" ht="30.75" customHeight="1">
      <c r="A36" s="420" t="s">
        <v>516</v>
      </c>
      <c r="B36" s="422" t="s">
        <v>951</v>
      </c>
      <c r="C36" s="422" t="s">
        <v>972</v>
      </c>
      <c r="D36" s="423" t="s">
        <v>969</v>
      </c>
      <c r="E36" s="423" t="s">
        <v>973</v>
      </c>
      <c r="F36" s="423" t="s">
        <v>257</v>
      </c>
      <c r="G36" s="423">
        <v>25</v>
      </c>
      <c r="H36" s="423">
        <v>52</v>
      </c>
      <c r="I36" s="423" t="s">
        <v>923</v>
      </c>
      <c r="J36" s="423" t="s">
        <v>924</v>
      </c>
      <c r="K36" s="424" t="s">
        <v>925</v>
      </c>
      <c r="L36" s="422" t="s">
        <v>974</v>
      </c>
      <c r="M36" s="425">
        <v>372000</v>
      </c>
      <c r="N36" s="425">
        <f>M36*НДС!$A$1</f>
        <v>431519.99999999994</v>
      </c>
      <c r="O36" s="426" t="s">
        <v>70</v>
      </c>
      <c r="P36" s="422"/>
      <c r="Q36" s="434" t="s">
        <v>61</v>
      </c>
      <c r="R36" s="423">
        <f>IF(Таблица68[[#This Row],[Столбец2]]="A",1,IF(Таблица68[[#This Row],[Столбец2]]="B",2,IF(Таблица68[[#This Row],[Столбец2]]="C",3)))</f>
        <v>2</v>
      </c>
      <c r="S36" s="413" t="s">
        <v>882</v>
      </c>
    </row>
    <row r="37" spans="1:19" ht="30.75" customHeight="1">
      <c r="A37" s="420" t="s">
        <v>518</v>
      </c>
      <c r="B37" s="422" t="s">
        <v>951</v>
      </c>
      <c r="C37" s="422" t="s">
        <v>975</v>
      </c>
      <c r="D37" s="423" t="s">
        <v>969</v>
      </c>
      <c r="E37" s="423" t="s">
        <v>976</v>
      </c>
      <c r="F37" s="423" t="s">
        <v>257</v>
      </c>
      <c r="G37" s="423">
        <v>32</v>
      </c>
      <c r="H37" s="423">
        <v>52</v>
      </c>
      <c r="I37" s="423" t="s">
        <v>923</v>
      </c>
      <c r="J37" s="423" t="s">
        <v>924</v>
      </c>
      <c r="K37" s="424" t="s">
        <v>925</v>
      </c>
      <c r="L37" s="422" t="s">
        <v>977</v>
      </c>
      <c r="M37" s="425">
        <v>480000</v>
      </c>
      <c r="N37" s="425">
        <f>M37*НДС!$A$1</f>
        <v>556800</v>
      </c>
      <c r="O37" s="426" t="s">
        <v>70</v>
      </c>
      <c r="P37" s="422"/>
      <c r="Q37" s="434" t="s">
        <v>61</v>
      </c>
      <c r="R37" s="423">
        <f>IF(Таблица68[[#This Row],[Столбец2]]="A",1,IF(Таблица68[[#This Row],[Столбец2]]="B",2,IF(Таблица68[[#This Row],[Столбец2]]="C",3)))</f>
        <v>2</v>
      </c>
      <c r="S37" s="413" t="s">
        <v>882</v>
      </c>
    </row>
    <row r="38" spans="1:19" ht="30.75" customHeight="1">
      <c r="A38" s="420" t="s">
        <v>520</v>
      </c>
      <c r="B38" s="422" t="s">
        <v>951</v>
      </c>
      <c r="C38" s="422" t="s">
        <v>978</v>
      </c>
      <c r="D38" s="423" t="s">
        <v>969</v>
      </c>
      <c r="E38" s="423" t="s">
        <v>979</v>
      </c>
      <c r="F38" s="423" t="s">
        <v>257</v>
      </c>
      <c r="G38" s="423">
        <v>40</v>
      </c>
      <c r="H38" s="423">
        <v>52</v>
      </c>
      <c r="I38" s="423" t="s">
        <v>923</v>
      </c>
      <c r="J38" s="423" t="s">
        <v>924</v>
      </c>
      <c r="K38" s="424" t="s">
        <v>925</v>
      </c>
      <c r="L38" s="422" t="s">
        <v>980</v>
      </c>
      <c r="M38" s="425">
        <v>570000</v>
      </c>
      <c r="N38" s="425">
        <f>M38*НДС!$A$1</f>
        <v>661200</v>
      </c>
      <c r="O38" s="426" t="s">
        <v>70</v>
      </c>
      <c r="P38" s="422"/>
      <c r="Q38" s="434" t="s">
        <v>61</v>
      </c>
      <c r="R38" s="423">
        <f>IF(Таблица68[[#This Row],[Столбец2]]="A",1,IF(Таблица68[[#This Row],[Столбец2]]="B",2,IF(Таблица68[[#This Row],[Столбец2]]="C",3)))</f>
        <v>2</v>
      </c>
      <c r="S38" s="413" t="s">
        <v>882</v>
      </c>
    </row>
    <row r="39" spans="1:19" ht="30.75" customHeight="1">
      <c r="A39" s="420" t="s">
        <v>522</v>
      </c>
      <c r="B39" s="422" t="s">
        <v>951</v>
      </c>
      <c r="C39" s="422" t="s">
        <v>981</v>
      </c>
      <c r="D39" s="423" t="s">
        <v>969</v>
      </c>
      <c r="E39" s="423" t="s">
        <v>982</v>
      </c>
      <c r="F39" s="423" t="s">
        <v>257</v>
      </c>
      <c r="G39" s="423">
        <v>50</v>
      </c>
      <c r="H39" s="423">
        <v>52</v>
      </c>
      <c r="I39" s="423" t="s">
        <v>923</v>
      </c>
      <c r="J39" s="423" t="s">
        <v>924</v>
      </c>
      <c r="K39" s="424" t="s">
        <v>925</v>
      </c>
      <c r="L39" s="422" t="s">
        <v>983</v>
      </c>
      <c r="M39" s="425">
        <v>630000</v>
      </c>
      <c r="N39" s="425">
        <f>M39*НДС!$A$1</f>
        <v>730800</v>
      </c>
      <c r="O39" s="426" t="s">
        <v>70</v>
      </c>
      <c r="P39" s="422"/>
      <c r="Q39" s="434" t="s">
        <v>61</v>
      </c>
      <c r="R39" s="423">
        <f>IF(Таблица68[[#This Row],[Столбец2]]="A",1,IF(Таблица68[[#This Row],[Столбец2]]="B",2,IF(Таблица68[[#This Row],[Столбец2]]="C",3)))</f>
        <v>2</v>
      </c>
      <c r="S39" s="413" t="s">
        <v>882</v>
      </c>
    </row>
    <row r="40" spans="1:19" ht="30.75" customHeight="1">
      <c r="A40" s="420" t="s">
        <v>524</v>
      </c>
      <c r="B40" s="422" t="s">
        <v>951</v>
      </c>
      <c r="C40" s="422" t="s">
        <v>984</v>
      </c>
      <c r="D40" s="423" t="s">
        <v>969</v>
      </c>
      <c r="E40" s="423" t="s">
        <v>985</v>
      </c>
      <c r="F40" s="423" t="s">
        <v>257</v>
      </c>
      <c r="G40" s="423">
        <v>65</v>
      </c>
      <c r="H40" s="423">
        <v>52</v>
      </c>
      <c r="I40" s="423" t="s">
        <v>923</v>
      </c>
      <c r="J40" s="423" t="s">
        <v>924</v>
      </c>
      <c r="K40" s="424" t="s">
        <v>925</v>
      </c>
      <c r="L40" s="422" t="s">
        <v>986</v>
      </c>
      <c r="M40" s="425">
        <v>900000</v>
      </c>
      <c r="N40" s="425">
        <f>M40*НДС!$A$1</f>
        <v>1043999.9999999999</v>
      </c>
      <c r="O40" s="426" t="s">
        <v>70</v>
      </c>
      <c r="P40" s="422"/>
      <c r="Q40" s="434" t="s">
        <v>61</v>
      </c>
      <c r="R40" s="423">
        <f>IF(Таблица68[[#This Row],[Столбец2]]="A",1,IF(Таблица68[[#This Row],[Столбец2]]="B",2,IF(Таблица68[[#This Row],[Столбец2]]="C",3)))</f>
        <v>2</v>
      </c>
      <c r="S40" s="413" t="s">
        <v>882</v>
      </c>
    </row>
    <row r="41" spans="1:19" ht="30.75" customHeight="1">
      <c r="A41" s="420" t="s">
        <v>526</v>
      </c>
      <c r="B41" s="422" t="s">
        <v>951</v>
      </c>
      <c r="C41" s="422" t="s">
        <v>987</v>
      </c>
      <c r="D41" s="423" t="s">
        <v>969</v>
      </c>
      <c r="E41" s="423" t="s">
        <v>988</v>
      </c>
      <c r="F41" s="423" t="s">
        <v>257</v>
      </c>
      <c r="G41" s="423">
        <v>80</v>
      </c>
      <c r="H41" s="423">
        <v>52</v>
      </c>
      <c r="I41" s="423" t="s">
        <v>923</v>
      </c>
      <c r="J41" s="423" t="s">
        <v>924</v>
      </c>
      <c r="K41" s="424" t="s">
        <v>925</v>
      </c>
      <c r="L41" s="422" t="s">
        <v>989</v>
      </c>
      <c r="M41" s="425">
        <v>1194000</v>
      </c>
      <c r="N41" s="425">
        <f>M41*НДС!$A$1</f>
        <v>1385040</v>
      </c>
      <c r="O41" s="426" t="s">
        <v>70</v>
      </c>
      <c r="P41" s="422"/>
      <c r="Q41" s="434" t="s">
        <v>61</v>
      </c>
      <c r="R41" s="423">
        <f>IF(Таблица68[[#This Row],[Столбец2]]="A",1,IF(Таблица68[[#This Row],[Столбец2]]="B",2,IF(Таблица68[[#This Row],[Столбец2]]="C",3)))</f>
        <v>2</v>
      </c>
      <c r="S41" s="413" t="s">
        <v>882</v>
      </c>
    </row>
    <row r="42" spans="1:19" ht="30.75" customHeight="1">
      <c r="A42" s="420" t="s">
        <v>527</v>
      </c>
      <c r="B42" s="422" t="s">
        <v>951</v>
      </c>
      <c r="C42" s="422" t="s">
        <v>990</v>
      </c>
      <c r="D42" s="423" t="s">
        <v>969</v>
      </c>
      <c r="E42" s="423" t="s">
        <v>991</v>
      </c>
      <c r="F42" s="423" t="s">
        <v>257</v>
      </c>
      <c r="G42" s="423">
        <v>100</v>
      </c>
      <c r="H42" s="423">
        <v>52</v>
      </c>
      <c r="I42" s="423" t="s">
        <v>923</v>
      </c>
      <c r="J42" s="423" t="s">
        <v>924</v>
      </c>
      <c r="K42" s="424" t="s">
        <v>925</v>
      </c>
      <c r="L42" s="422" t="s">
        <v>992</v>
      </c>
      <c r="M42" s="425">
        <v>1740000</v>
      </c>
      <c r="N42" s="425">
        <f>M42*НДС!$A$1</f>
        <v>2018399.9999999998</v>
      </c>
      <c r="O42" s="426" t="s">
        <v>70</v>
      </c>
      <c r="P42" s="422"/>
      <c r="Q42" s="434" t="s">
        <v>61</v>
      </c>
      <c r="R42" s="423">
        <f>IF(Таблица68[[#This Row],[Столбец2]]="A",1,IF(Таблица68[[#This Row],[Столбец2]]="B",2,IF(Таблица68[[#This Row],[Столбец2]]="C",3)))</f>
        <v>2</v>
      </c>
      <c r="S42" s="413" t="s">
        <v>882</v>
      </c>
    </row>
    <row r="43" spans="1:19" ht="30.75" customHeight="1">
      <c r="A43" s="420" t="s">
        <v>528</v>
      </c>
      <c r="B43" s="422" t="s">
        <v>951</v>
      </c>
      <c r="C43" s="422" t="s">
        <v>993</v>
      </c>
      <c r="D43" s="423" t="s">
        <v>969</v>
      </c>
      <c r="E43" s="423" t="s">
        <v>994</v>
      </c>
      <c r="F43" s="423" t="s">
        <v>257</v>
      </c>
      <c r="G43" s="423">
        <v>125</v>
      </c>
      <c r="H43" s="423">
        <v>52</v>
      </c>
      <c r="I43" s="423" t="s">
        <v>923</v>
      </c>
      <c r="J43" s="423" t="s">
        <v>924</v>
      </c>
      <c r="K43" s="424" t="s">
        <v>925</v>
      </c>
      <c r="L43" s="422" t="s">
        <v>995</v>
      </c>
      <c r="M43" s="425">
        <v>2430000</v>
      </c>
      <c r="N43" s="425">
        <f>M43*НДС!$A$1</f>
        <v>2818800</v>
      </c>
      <c r="O43" s="426" t="s">
        <v>910</v>
      </c>
      <c r="P43" s="422"/>
      <c r="Q43" s="429" t="s">
        <v>65</v>
      </c>
      <c r="R43" s="423">
        <f>IF(Таблица68[[#This Row],[Столбец2]]="A",1,IF(Таблица68[[#This Row],[Столбец2]]="B",2,IF(Таблица68[[#This Row],[Столбец2]]="C",3)))</f>
        <v>3</v>
      </c>
      <c r="S43" s="413" t="s">
        <v>878</v>
      </c>
    </row>
    <row r="44" spans="1:19" ht="30.75" customHeight="1">
      <c r="A44" s="420" t="s">
        <v>529</v>
      </c>
      <c r="B44" s="422" t="s">
        <v>951</v>
      </c>
      <c r="C44" s="422" t="s">
        <v>996</v>
      </c>
      <c r="D44" s="423" t="s">
        <v>969</v>
      </c>
      <c r="E44" s="423" t="s">
        <v>997</v>
      </c>
      <c r="F44" s="423" t="s">
        <v>257</v>
      </c>
      <c r="G44" s="423">
        <v>150</v>
      </c>
      <c r="H44" s="423">
        <v>52</v>
      </c>
      <c r="I44" s="423" t="s">
        <v>923</v>
      </c>
      <c r="J44" s="423" t="s">
        <v>924</v>
      </c>
      <c r="K44" s="424" t="s">
        <v>925</v>
      </c>
      <c r="L44" s="422" t="s">
        <v>998</v>
      </c>
      <c r="M44" s="425">
        <v>3900000</v>
      </c>
      <c r="N44" s="425">
        <f>M44*НДС!$A$1</f>
        <v>4524000</v>
      </c>
      <c r="O44" s="426" t="s">
        <v>910</v>
      </c>
      <c r="P44" s="422"/>
      <c r="Q44" s="429" t="s">
        <v>65</v>
      </c>
      <c r="R44" s="423">
        <f>IF(Таблица68[[#This Row],[Столбец2]]="A",1,IF(Таблица68[[#This Row],[Столбец2]]="B",2,IF(Таблица68[[#This Row],[Столбец2]]="C",3)))</f>
        <v>3</v>
      </c>
      <c r="S44" s="413" t="s">
        <v>878</v>
      </c>
    </row>
    <row r="45" spans="1:19" ht="18">
      <c r="A45" s="420" t="s">
        <v>633</v>
      </c>
      <c r="B45" s="422" t="s">
        <v>999</v>
      </c>
      <c r="C45" s="422" t="s">
        <v>1000</v>
      </c>
      <c r="D45" s="423" t="s">
        <v>1001</v>
      </c>
      <c r="E45" s="423" t="s">
        <v>1002</v>
      </c>
      <c r="F45" s="423" t="s">
        <v>1003</v>
      </c>
      <c r="G45" s="423"/>
      <c r="H45" s="432" t="s">
        <v>907</v>
      </c>
      <c r="I45" s="423" t="s">
        <v>923</v>
      </c>
      <c r="J45" s="423" t="s">
        <v>888</v>
      </c>
      <c r="K45" s="424" t="s">
        <v>1004</v>
      </c>
      <c r="L45" s="422" t="s">
        <v>1005</v>
      </c>
      <c r="M45" s="425">
        <v>168000</v>
      </c>
      <c r="N45" s="425">
        <f>M45*НДС!$A$1</f>
        <v>194880</v>
      </c>
      <c r="O45" s="426" t="s">
        <v>70</v>
      </c>
      <c r="P45" s="422"/>
      <c r="Q45" s="434" t="s">
        <v>61</v>
      </c>
      <c r="R45" s="423">
        <f>IF(Таблица68[[#This Row],[Столбец2]]="A",1,IF(Таблица68[[#This Row],[Столбец2]]="B",2,IF(Таблица68[[#This Row],[Столбец2]]="C",3)))</f>
        <v>2</v>
      </c>
      <c r="S45" s="413" t="s">
        <v>882</v>
      </c>
    </row>
    <row r="46" spans="1:19" ht="25">
      <c r="A46" s="420" t="s">
        <v>634</v>
      </c>
      <c r="B46" s="422" t="s">
        <v>999</v>
      </c>
      <c r="C46" s="422" t="s">
        <v>1006</v>
      </c>
      <c r="D46" s="423" t="s">
        <v>1001</v>
      </c>
      <c r="E46" s="423" t="s">
        <v>1007</v>
      </c>
      <c r="F46" s="423" t="s">
        <v>1008</v>
      </c>
      <c r="G46" s="423"/>
      <c r="H46" s="432" t="s">
        <v>907</v>
      </c>
      <c r="I46" s="423" t="s">
        <v>923</v>
      </c>
      <c r="J46" s="423" t="s">
        <v>888</v>
      </c>
      <c r="K46" s="424" t="s">
        <v>1004</v>
      </c>
      <c r="L46" s="422" t="s">
        <v>1009</v>
      </c>
      <c r="M46" s="425">
        <v>179400</v>
      </c>
      <c r="N46" s="425">
        <f>M46*НДС!$A$1</f>
        <v>208104</v>
      </c>
      <c r="O46" s="426" t="s">
        <v>70</v>
      </c>
      <c r="P46" s="422"/>
      <c r="Q46" s="427" t="s">
        <v>58</v>
      </c>
      <c r="R46" s="423">
        <f>IF(Таблица68[[#This Row],[Столбец2]]="A",1,IF(Таблица68[[#This Row],[Столбец2]]="B",2,IF(Таблица68[[#This Row],[Столбец2]]="C",3)))</f>
        <v>1</v>
      </c>
      <c r="S46" s="413" t="s">
        <v>875</v>
      </c>
    </row>
    <row r="47" spans="1:19" ht="18">
      <c r="A47" s="420" t="s">
        <v>635</v>
      </c>
      <c r="B47" s="422" t="s">
        <v>999</v>
      </c>
      <c r="C47" s="422" t="s">
        <v>1010</v>
      </c>
      <c r="D47" s="423" t="s">
        <v>1001</v>
      </c>
      <c r="E47" s="423" t="s">
        <v>1011</v>
      </c>
      <c r="F47" s="423" t="s">
        <v>1012</v>
      </c>
      <c r="G47" s="423"/>
      <c r="H47" s="432">
        <v>52</v>
      </c>
      <c r="I47" s="423" t="s">
        <v>923</v>
      </c>
      <c r="J47" s="423" t="s">
        <v>924</v>
      </c>
      <c r="K47" s="424" t="s">
        <v>1004</v>
      </c>
      <c r="L47" s="422" t="s">
        <v>1013</v>
      </c>
      <c r="M47" s="425">
        <v>294000</v>
      </c>
      <c r="N47" s="425">
        <f>M47*НДС!$A$1</f>
        <v>341040</v>
      </c>
      <c r="O47" s="426" t="s">
        <v>70</v>
      </c>
      <c r="P47" s="422"/>
      <c r="Q47" s="434" t="s">
        <v>61</v>
      </c>
      <c r="R47" s="423">
        <f>IF(Таблица68[[#This Row],[Столбец2]]="A",1,IF(Таблица68[[#This Row],[Столбец2]]="B",2,IF(Таблица68[[#This Row],[Столбец2]]="C",3)))</f>
        <v>2</v>
      </c>
      <c r="S47" s="413" t="s">
        <v>882</v>
      </c>
    </row>
    <row r="48" spans="1:19" ht="18">
      <c r="A48" s="420" t="s">
        <v>637</v>
      </c>
      <c r="B48" s="422" t="s">
        <v>1014</v>
      </c>
      <c r="C48" s="422" t="s">
        <v>1015</v>
      </c>
      <c r="D48" s="423" t="s">
        <v>1016</v>
      </c>
      <c r="E48" s="423" t="s">
        <v>1016</v>
      </c>
      <c r="F48" s="423" t="s">
        <v>1017</v>
      </c>
      <c r="G48" s="423"/>
      <c r="H48" s="432" t="s">
        <v>907</v>
      </c>
      <c r="I48" s="423" t="s">
        <v>923</v>
      </c>
      <c r="J48" s="423" t="s">
        <v>888</v>
      </c>
      <c r="K48" s="424" t="s">
        <v>1004</v>
      </c>
      <c r="L48" s="422" t="s">
        <v>1018</v>
      </c>
      <c r="M48" s="425">
        <v>204000</v>
      </c>
      <c r="N48" s="425">
        <f>M48*НДС!$A$1</f>
        <v>236639.99999999997</v>
      </c>
      <c r="O48" s="426" t="s">
        <v>70</v>
      </c>
      <c r="P48" s="422"/>
      <c r="Q48" s="434" t="s">
        <v>61</v>
      </c>
      <c r="R48" s="423">
        <f>IF(Таблица68[[#This Row],[Столбец2]]="A",1,IF(Таблица68[[#This Row],[Столбец2]]="B",2,IF(Таблица68[[#This Row],[Столбец2]]="C",3)))</f>
        <v>2</v>
      </c>
      <c r="S48" s="413" t="s">
        <v>882</v>
      </c>
    </row>
    <row r="49" spans="1:19" ht="18">
      <c r="A49" s="420" t="s">
        <v>639</v>
      </c>
      <c r="B49" s="422" t="s">
        <v>1019</v>
      </c>
      <c r="C49" s="422" t="s">
        <v>1020</v>
      </c>
      <c r="D49" s="423" t="s">
        <v>1021</v>
      </c>
      <c r="E49" s="423" t="s">
        <v>1021</v>
      </c>
      <c r="F49" s="423" t="s">
        <v>1022</v>
      </c>
      <c r="G49" s="423"/>
      <c r="H49" s="432" t="s">
        <v>907</v>
      </c>
      <c r="I49" s="423" t="s">
        <v>923</v>
      </c>
      <c r="J49" s="423" t="s">
        <v>888</v>
      </c>
      <c r="K49" s="424" t="s">
        <v>1004</v>
      </c>
      <c r="L49" s="422" t="s">
        <v>1023</v>
      </c>
      <c r="M49" s="425">
        <v>252000</v>
      </c>
      <c r="N49" s="425">
        <f>M49*НДС!$A$1</f>
        <v>292320</v>
      </c>
      <c r="O49" s="426" t="s">
        <v>70</v>
      </c>
      <c r="P49" s="422"/>
      <c r="Q49" s="434" t="s">
        <v>61</v>
      </c>
      <c r="R49" s="423">
        <f>IF(Таблица68[[#This Row],[Столбец2]]="A",1,IF(Таблица68[[#This Row],[Столбец2]]="B",2,IF(Таблица68[[#This Row],[Столбец2]]="C",3)))</f>
        <v>2</v>
      </c>
      <c r="S49" s="413" t="s">
        <v>882</v>
      </c>
    </row>
    <row r="50" spans="1:19" ht="28">
      <c r="A50" s="420" t="s">
        <v>600</v>
      </c>
      <c r="B50" s="422" t="s">
        <v>1024</v>
      </c>
      <c r="C50" s="422" t="s">
        <v>1025</v>
      </c>
      <c r="D50" s="423" t="s">
        <v>1026</v>
      </c>
      <c r="E50" s="423" t="s">
        <v>1027</v>
      </c>
      <c r="F50" s="423" t="s">
        <v>1028</v>
      </c>
      <c r="G50" s="423"/>
      <c r="H50" s="432">
        <v>52</v>
      </c>
      <c r="I50" s="423" t="s">
        <v>923</v>
      </c>
      <c r="J50" s="423" t="s">
        <v>924</v>
      </c>
      <c r="K50" s="424" t="s">
        <v>1004</v>
      </c>
      <c r="L50" s="422" t="s">
        <v>1029</v>
      </c>
      <c r="M50" s="425">
        <v>57000</v>
      </c>
      <c r="N50" s="425">
        <f>M50*НДС!$A$1</f>
        <v>66120</v>
      </c>
      <c r="O50" s="426" t="s">
        <v>70</v>
      </c>
      <c r="P50" s="422"/>
      <c r="Q50" s="434" t="s">
        <v>61</v>
      </c>
      <c r="R50" s="423">
        <f>IF(Таблица68[[#This Row],[Столбец2]]="A",1,IF(Таблица68[[#This Row],[Столбец2]]="B",2,IF(Таблица68[[#This Row],[Столбец2]]="C",3)))</f>
        <v>2</v>
      </c>
      <c r="S50" s="413" t="s">
        <v>882</v>
      </c>
    </row>
    <row r="51" spans="1:19" ht="28">
      <c r="A51" s="435" t="s">
        <v>601</v>
      </c>
      <c r="B51" s="436" t="s">
        <v>1024</v>
      </c>
      <c r="C51" s="436" t="s">
        <v>1030</v>
      </c>
      <c r="D51" s="437" t="s">
        <v>1026</v>
      </c>
      <c r="E51" s="437" t="s">
        <v>1031</v>
      </c>
      <c r="F51" s="423" t="s">
        <v>1032</v>
      </c>
      <c r="G51" s="437"/>
      <c r="H51" s="438">
        <v>52</v>
      </c>
      <c r="I51" s="437" t="s">
        <v>923</v>
      </c>
      <c r="J51" s="437" t="s">
        <v>924</v>
      </c>
      <c r="K51" s="439" t="s">
        <v>1004</v>
      </c>
      <c r="L51" s="436" t="s">
        <v>1033</v>
      </c>
      <c r="M51" s="440">
        <v>168000</v>
      </c>
      <c r="N51" s="425">
        <f>M51*НДС!$A$1</f>
        <v>194880</v>
      </c>
      <c r="O51" s="441" t="s">
        <v>70</v>
      </c>
      <c r="P51" s="436"/>
      <c r="Q51" s="442" t="s">
        <v>61</v>
      </c>
      <c r="R51" s="423">
        <f>IF(Таблица68[[#This Row],[Столбец2]]="A",1,IF(Таблица68[[#This Row],[Столбец2]]="B",2,IF(Таблица68[[#This Row],[Столбец2]]="C",3)))</f>
        <v>2</v>
      </c>
      <c r="S51" s="413" t="s">
        <v>882</v>
      </c>
    </row>
    <row r="52" spans="1:19" ht="28">
      <c r="A52" s="423" t="s">
        <v>642</v>
      </c>
      <c r="B52" s="422" t="s">
        <v>641</v>
      </c>
      <c r="C52" s="422" t="s">
        <v>1034</v>
      </c>
      <c r="D52" s="423" t="s">
        <v>1035</v>
      </c>
      <c r="E52" s="423" t="str">
        <f>RIGHT(Таблица68[[#This Row],[Полное  наименование]],6)</f>
        <v>CVH 10</v>
      </c>
      <c r="F52" s="423" t="s">
        <v>257</v>
      </c>
      <c r="G52" s="423">
        <v>10</v>
      </c>
      <c r="H52" s="432" t="s">
        <v>907</v>
      </c>
      <c r="I52" s="423" t="s">
        <v>923</v>
      </c>
      <c r="J52" s="423" t="s">
        <v>888</v>
      </c>
      <c r="K52" s="424" t="s">
        <v>889</v>
      </c>
      <c r="L52" s="422" t="s">
        <v>1036</v>
      </c>
      <c r="M52" s="425">
        <v>84000</v>
      </c>
      <c r="N52" s="425">
        <f>M52*НДС!$A$1</f>
        <v>97440</v>
      </c>
      <c r="O52" s="443" t="s">
        <v>70</v>
      </c>
      <c r="P52" s="422"/>
      <c r="Q52" s="429" t="s">
        <v>65</v>
      </c>
      <c r="R52" s="423">
        <f>IF(Таблица68[[#This Row],[Столбец2]]="A",1,IF(Таблица68[[#This Row],[Столбец2]]="B",2,IF(Таблица68[[#This Row],[Столбец2]]="C",3)))</f>
        <v>3</v>
      </c>
      <c r="S52" s="413" t="s">
        <v>878</v>
      </c>
    </row>
    <row r="53" spans="1:19" ht="28">
      <c r="A53" s="423" t="s">
        <v>643</v>
      </c>
      <c r="B53" s="422" t="s">
        <v>641</v>
      </c>
      <c r="C53" s="422" t="s">
        <v>1037</v>
      </c>
      <c r="D53" s="423" t="s">
        <v>1035</v>
      </c>
      <c r="E53" s="423" t="str">
        <f>RIGHT(Таблица68[[#This Row],[Полное  наименование]],6)</f>
        <v>CVH 15</v>
      </c>
      <c r="F53" s="423" t="s">
        <v>257</v>
      </c>
      <c r="G53" s="423">
        <v>15</v>
      </c>
      <c r="H53" s="432" t="s">
        <v>907</v>
      </c>
      <c r="I53" s="423" t="s">
        <v>923</v>
      </c>
      <c r="J53" s="423" t="s">
        <v>888</v>
      </c>
      <c r="K53" s="424" t="s">
        <v>889</v>
      </c>
      <c r="L53" s="422" t="s">
        <v>1038</v>
      </c>
      <c r="M53" s="425">
        <v>84000</v>
      </c>
      <c r="N53" s="425">
        <f>M53*НДС!$A$1</f>
        <v>97440</v>
      </c>
      <c r="O53" s="443" t="s">
        <v>70</v>
      </c>
      <c r="P53" s="422"/>
      <c r="Q53" s="429" t="s">
        <v>65</v>
      </c>
      <c r="R53" s="423">
        <f>IF(Таблица68[[#This Row],[Столбец2]]="A",1,IF(Таблица68[[#This Row],[Столбец2]]="B",2,IF(Таблица68[[#This Row],[Столбец2]]="C",3)))</f>
        <v>3</v>
      </c>
      <c r="S53" s="413" t="s">
        <v>878</v>
      </c>
    </row>
    <row r="54" spans="1:19" ht="28">
      <c r="A54" s="423" t="s">
        <v>644</v>
      </c>
      <c r="B54" s="422" t="s">
        <v>641</v>
      </c>
      <c r="C54" s="422" t="s">
        <v>1039</v>
      </c>
      <c r="D54" s="423" t="s">
        <v>1035</v>
      </c>
      <c r="E54" s="423" t="str">
        <f>RIGHT(Таблица68[[#This Row],[Полное  наименование]],6)</f>
        <v>CVH 20</v>
      </c>
      <c r="F54" s="423" t="s">
        <v>257</v>
      </c>
      <c r="G54" s="423">
        <v>20</v>
      </c>
      <c r="H54" s="432" t="s">
        <v>907</v>
      </c>
      <c r="I54" s="423" t="s">
        <v>923</v>
      </c>
      <c r="J54" s="423" t="s">
        <v>888</v>
      </c>
      <c r="K54" s="424" t="s">
        <v>889</v>
      </c>
      <c r="L54" s="422" t="s">
        <v>1038</v>
      </c>
      <c r="M54" s="425">
        <v>84000</v>
      </c>
      <c r="N54" s="425">
        <f>M54*НДС!$A$1</f>
        <v>97440</v>
      </c>
      <c r="O54" s="443" t="s">
        <v>70</v>
      </c>
      <c r="P54" s="422"/>
      <c r="Q54" s="429" t="s">
        <v>65</v>
      </c>
      <c r="R54" s="423">
        <f>IF(Таблица68[[#This Row],[Столбец2]]="A",1,IF(Таблица68[[#This Row],[Столбец2]]="B",2,IF(Таблица68[[#This Row],[Столбец2]]="C",3)))</f>
        <v>3</v>
      </c>
      <c r="S54" s="413" t="s">
        <v>878</v>
      </c>
    </row>
    <row r="55" spans="1:19" ht="18">
      <c r="A55" s="444" t="s">
        <v>655</v>
      </c>
      <c r="B55" s="445" t="s">
        <v>1040</v>
      </c>
      <c r="C55" s="445" t="s">
        <v>1041</v>
      </c>
      <c r="D55" s="446" t="s">
        <v>1042</v>
      </c>
      <c r="E55" s="446" t="str">
        <f>RIGHT(Таблица68[[#This Row],[Полное  наименование]],6)</f>
        <v>OFV 20</v>
      </c>
      <c r="F55" s="446" t="s">
        <v>267</v>
      </c>
      <c r="G55" s="446">
        <v>20</v>
      </c>
      <c r="H55" s="446">
        <v>52</v>
      </c>
      <c r="I55" s="446" t="s">
        <v>346</v>
      </c>
      <c r="J55" s="446" t="s">
        <v>924</v>
      </c>
      <c r="K55" s="447" t="s">
        <v>925</v>
      </c>
      <c r="L55" s="445" t="s">
        <v>1043</v>
      </c>
      <c r="M55" s="448">
        <v>120000</v>
      </c>
      <c r="N55" s="425">
        <f>M55*НДС!$A$1</f>
        <v>139200</v>
      </c>
      <c r="O55" s="449" t="s">
        <v>70</v>
      </c>
      <c r="P55" s="445"/>
      <c r="Q55" s="434" t="s">
        <v>61</v>
      </c>
      <c r="R55" s="423">
        <f>IF(Таблица68[[#This Row],[Столбец2]]="A",1,IF(Таблица68[[#This Row],[Столбец2]]="B",2,IF(Таблица68[[#This Row],[Столбец2]]="C",3)))</f>
        <v>2</v>
      </c>
      <c r="S55" s="413" t="s">
        <v>882</v>
      </c>
    </row>
    <row r="56" spans="1:19" ht="18">
      <c r="A56" s="420" t="s">
        <v>656</v>
      </c>
      <c r="B56" s="422" t="s">
        <v>1040</v>
      </c>
      <c r="C56" s="422" t="s">
        <v>1044</v>
      </c>
      <c r="D56" s="423" t="s">
        <v>1042</v>
      </c>
      <c r="E56" s="423" t="str">
        <f>RIGHT(Таблица68[[#This Row],[Полное  наименование]],6)</f>
        <v>OFV 25</v>
      </c>
      <c r="F56" s="423" t="s">
        <v>267</v>
      </c>
      <c r="G56" s="423">
        <v>25</v>
      </c>
      <c r="H56" s="423">
        <v>52</v>
      </c>
      <c r="I56" s="423" t="s">
        <v>346</v>
      </c>
      <c r="J56" s="423" t="s">
        <v>924</v>
      </c>
      <c r="K56" s="424" t="s">
        <v>925</v>
      </c>
      <c r="L56" s="422" t="s">
        <v>1045</v>
      </c>
      <c r="M56" s="425">
        <v>126000</v>
      </c>
      <c r="N56" s="425">
        <f>M56*НДС!$A$1</f>
        <v>146160</v>
      </c>
      <c r="O56" s="426" t="s">
        <v>70</v>
      </c>
      <c r="P56" s="422"/>
      <c r="Q56" s="434" t="s">
        <v>61</v>
      </c>
      <c r="R56" s="423">
        <f>IF(Таблица68[[#This Row],[Столбец2]]="A",1,IF(Таблица68[[#This Row],[Столбец2]]="B",2,IF(Таблица68[[#This Row],[Столбец2]]="C",3)))</f>
        <v>2</v>
      </c>
      <c r="S56" s="413" t="s">
        <v>882</v>
      </c>
    </row>
    <row r="57" spans="1:19" ht="25">
      <c r="A57" s="420" t="s">
        <v>657</v>
      </c>
      <c r="B57" s="422" t="s">
        <v>1040</v>
      </c>
      <c r="C57" s="422" t="s">
        <v>1046</v>
      </c>
      <c r="D57" s="423" t="s">
        <v>1042</v>
      </c>
      <c r="E57" s="423" t="str">
        <f>RIGHT(Таблица68[[#This Row],[Полное  наименование]],6)</f>
        <v>OFV 32</v>
      </c>
      <c r="F57" s="423" t="s">
        <v>267</v>
      </c>
      <c r="G57" s="423">
        <v>32</v>
      </c>
      <c r="H57" s="423">
        <v>52</v>
      </c>
      <c r="I57" s="423" t="s">
        <v>346</v>
      </c>
      <c r="J57" s="423" t="s">
        <v>924</v>
      </c>
      <c r="K57" s="424" t="s">
        <v>925</v>
      </c>
      <c r="L57" s="422" t="s">
        <v>1047</v>
      </c>
      <c r="M57" s="425">
        <v>195000</v>
      </c>
      <c r="N57" s="425">
        <f>M57*НДС!$A$1</f>
        <v>226199.99999999997</v>
      </c>
      <c r="O57" s="426" t="s">
        <v>70</v>
      </c>
      <c r="P57" s="422"/>
      <c r="Q57" s="429" t="s">
        <v>65</v>
      </c>
      <c r="R57" s="423">
        <f>IF(Таблица68[[#This Row],[Столбец2]]="A",1,IF(Таблица68[[#This Row],[Столбец2]]="B",2,IF(Таблица68[[#This Row],[Столбец2]]="C",3)))</f>
        <v>3</v>
      </c>
      <c r="S57" s="413" t="s">
        <v>878</v>
      </c>
    </row>
    <row r="58" spans="1:19" ht="25">
      <c r="A58" s="420" t="s">
        <v>658</v>
      </c>
      <c r="B58" s="422" t="s">
        <v>1040</v>
      </c>
      <c r="C58" s="422" t="s">
        <v>1048</v>
      </c>
      <c r="D58" s="423" t="s">
        <v>1042</v>
      </c>
      <c r="E58" s="423" t="str">
        <f>RIGHT(Таблица68[[#This Row],[Полное  наименование]],6)</f>
        <v>OFV 40</v>
      </c>
      <c r="F58" s="423" t="s">
        <v>267</v>
      </c>
      <c r="G58" s="423">
        <v>40</v>
      </c>
      <c r="H58" s="423">
        <v>52</v>
      </c>
      <c r="I58" s="423" t="s">
        <v>346</v>
      </c>
      <c r="J58" s="423" t="s">
        <v>924</v>
      </c>
      <c r="K58" s="424" t="s">
        <v>925</v>
      </c>
      <c r="L58" s="422" t="s">
        <v>1049</v>
      </c>
      <c r="M58" s="425">
        <v>198000</v>
      </c>
      <c r="N58" s="425">
        <f>M58*НДС!$A$1</f>
        <v>229679.99999999997</v>
      </c>
      <c r="O58" s="426" t="s">
        <v>70</v>
      </c>
      <c r="P58" s="422"/>
      <c r="Q58" s="429" t="s">
        <v>65</v>
      </c>
      <c r="R58" s="423">
        <f>IF(Таблица68[[#This Row],[Столбец2]]="A",1,IF(Таблица68[[#This Row],[Столбец2]]="B",2,IF(Таблица68[[#This Row],[Столбец2]]="C",3)))</f>
        <v>3</v>
      </c>
      <c r="S58" s="413" t="s">
        <v>878</v>
      </c>
    </row>
    <row r="59" spans="1:19" ht="18">
      <c r="A59" s="423" t="s">
        <v>251</v>
      </c>
      <c r="B59" s="422" t="s">
        <v>1050</v>
      </c>
      <c r="C59" s="422" t="s">
        <v>1051</v>
      </c>
      <c r="D59" s="423" t="s">
        <v>844</v>
      </c>
      <c r="E59" s="423" t="s">
        <v>1052</v>
      </c>
      <c r="F59" s="423" t="s">
        <v>267</v>
      </c>
      <c r="G59" s="423">
        <v>15</v>
      </c>
      <c r="H59" s="423">
        <v>52</v>
      </c>
      <c r="I59" s="423" t="s">
        <v>346</v>
      </c>
      <c r="J59" s="423" t="s">
        <v>924</v>
      </c>
      <c r="K59" s="424" t="s">
        <v>925</v>
      </c>
      <c r="L59" s="422" t="s">
        <v>1052</v>
      </c>
      <c r="M59" s="425">
        <v>174000</v>
      </c>
      <c r="N59" s="425">
        <f>M59*НДС!$A$1</f>
        <v>201840</v>
      </c>
      <c r="O59" s="426" t="s">
        <v>70</v>
      </c>
      <c r="P59" s="422"/>
      <c r="Q59" s="434" t="s">
        <v>61</v>
      </c>
      <c r="R59" s="423">
        <f>IF(Таблица68[[#This Row],[Столбец2]]="A",1,IF(Таблица68[[#This Row],[Столбец2]]="B",2,IF(Таблица68[[#This Row],[Столбец2]]="C",3)))</f>
        <v>2</v>
      </c>
      <c r="S59" s="413" t="s">
        <v>882</v>
      </c>
    </row>
    <row r="60" spans="1:19" ht="25">
      <c r="A60" s="423" t="s">
        <v>252</v>
      </c>
      <c r="B60" s="422" t="s">
        <v>1050</v>
      </c>
      <c r="C60" s="422" t="s">
        <v>1053</v>
      </c>
      <c r="D60" s="423" t="s">
        <v>844</v>
      </c>
      <c r="E60" s="423" t="s">
        <v>1054</v>
      </c>
      <c r="F60" s="423" t="s">
        <v>267</v>
      </c>
      <c r="G60" s="423">
        <v>20</v>
      </c>
      <c r="H60" s="423">
        <v>52</v>
      </c>
      <c r="I60" s="423" t="s">
        <v>346</v>
      </c>
      <c r="J60" s="423" t="s">
        <v>924</v>
      </c>
      <c r="K60" s="424" t="s">
        <v>925</v>
      </c>
      <c r="L60" s="422" t="s">
        <v>1054</v>
      </c>
      <c r="M60" s="425">
        <v>189000</v>
      </c>
      <c r="N60" s="425">
        <f>M60*НДС!$A$1</f>
        <v>219239.99999999997</v>
      </c>
      <c r="O60" s="426" t="s">
        <v>70</v>
      </c>
      <c r="P60" s="422"/>
      <c r="Q60" s="429" t="s">
        <v>65</v>
      </c>
      <c r="R60" s="423">
        <f>IF(Таблица68[[#This Row],[Столбец2]]="A",1,IF(Таблица68[[#This Row],[Столбец2]]="B",2,IF(Таблица68[[#This Row],[Столбец2]]="C",3)))</f>
        <v>3</v>
      </c>
      <c r="S60" s="413" t="s">
        <v>878</v>
      </c>
    </row>
    <row r="61" spans="1:19" ht="25">
      <c r="A61" s="420" t="s">
        <v>153</v>
      </c>
      <c r="B61" s="422" t="s">
        <v>1055</v>
      </c>
      <c r="C61" s="422" t="s">
        <v>1056</v>
      </c>
      <c r="D61" s="423" t="s">
        <v>844</v>
      </c>
      <c r="E61" s="423" t="str">
        <f>RIGHT(Таблица68[[#This Row],[Полное  наименование]],18)</f>
        <v>SVA 15 D STR PN 52</v>
      </c>
      <c r="F61" s="423" t="s">
        <v>257</v>
      </c>
      <c r="G61" s="423">
        <v>15</v>
      </c>
      <c r="H61" s="423">
        <v>52</v>
      </c>
      <c r="I61" s="423" t="s">
        <v>346</v>
      </c>
      <c r="J61" s="423" t="s">
        <v>924</v>
      </c>
      <c r="K61" s="424" t="s">
        <v>925</v>
      </c>
      <c r="L61" s="422" t="s">
        <v>1057</v>
      </c>
      <c r="M61" s="425">
        <v>28800</v>
      </c>
      <c r="N61" s="425">
        <f>M61*НДС!$A$1</f>
        <v>33408</v>
      </c>
      <c r="O61" s="426" t="s">
        <v>70</v>
      </c>
      <c r="P61" s="422"/>
      <c r="Q61" s="427" t="s">
        <v>58</v>
      </c>
      <c r="R61" s="423">
        <f>IF(Таблица68[[#This Row],[Столбец2]]="A",1,IF(Таблица68[[#This Row],[Столбец2]]="B",2,IF(Таблица68[[#This Row],[Столбец2]]="C",3)))</f>
        <v>1</v>
      </c>
      <c r="S61" s="413" t="s">
        <v>875</v>
      </c>
    </row>
    <row r="62" spans="1:19" ht="18" customHeight="1">
      <c r="A62" s="420" t="s">
        <v>175</v>
      </c>
      <c r="B62" s="422" t="s">
        <v>1055</v>
      </c>
      <c r="C62" s="422" t="s">
        <v>1058</v>
      </c>
      <c r="D62" s="423" t="s">
        <v>844</v>
      </c>
      <c r="E62" s="423" t="str">
        <f>RIGHT(Таблица68[[#This Row],[Полное  наименование]],18)</f>
        <v>SVA 15 D ANG PN 52</v>
      </c>
      <c r="F62" s="423" t="s">
        <v>267</v>
      </c>
      <c r="G62" s="423">
        <v>15</v>
      </c>
      <c r="H62" s="423">
        <v>52</v>
      </c>
      <c r="I62" s="423" t="s">
        <v>346</v>
      </c>
      <c r="J62" s="423" t="s">
        <v>924</v>
      </c>
      <c r="K62" s="424" t="s">
        <v>925</v>
      </c>
      <c r="L62" s="422" t="s">
        <v>1059</v>
      </c>
      <c r="M62" s="425">
        <v>28800</v>
      </c>
      <c r="N62" s="425">
        <f>M62*НДС!$A$1</f>
        <v>33408</v>
      </c>
      <c r="O62" s="426" t="s">
        <v>70</v>
      </c>
      <c r="P62" s="422"/>
      <c r="Q62" s="427" t="s">
        <v>58</v>
      </c>
      <c r="R62" s="423">
        <f>IF(Таблица68[[#This Row],[Столбец2]]="A",1,IF(Таблица68[[#This Row],[Столбец2]]="B",2,IF(Таблица68[[#This Row],[Столбец2]]="C",3)))</f>
        <v>1</v>
      </c>
      <c r="S62" s="413" t="s">
        <v>875</v>
      </c>
    </row>
    <row r="63" spans="1:19" ht="25">
      <c r="A63" s="420" t="s">
        <v>154</v>
      </c>
      <c r="B63" s="422" t="s">
        <v>1055</v>
      </c>
      <c r="C63" s="422" t="s">
        <v>1060</v>
      </c>
      <c r="D63" s="423" t="s">
        <v>844</v>
      </c>
      <c r="E63" s="423" t="str">
        <f>RIGHT(Таблица68[[#This Row],[Полное  наименование]],18)</f>
        <v>SVA 20 D STR PN 52</v>
      </c>
      <c r="F63" s="423" t="s">
        <v>257</v>
      </c>
      <c r="G63" s="423">
        <v>20</v>
      </c>
      <c r="H63" s="423">
        <v>52</v>
      </c>
      <c r="I63" s="423" t="s">
        <v>346</v>
      </c>
      <c r="J63" s="423" t="s">
        <v>924</v>
      </c>
      <c r="K63" s="424" t="s">
        <v>925</v>
      </c>
      <c r="L63" s="422" t="s">
        <v>1061</v>
      </c>
      <c r="M63" s="425">
        <v>32400</v>
      </c>
      <c r="N63" s="425">
        <f>M63*НДС!$A$1</f>
        <v>37584</v>
      </c>
      <c r="O63" s="426" t="s">
        <v>70</v>
      </c>
      <c r="P63" s="422"/>
      <c r="Q63" s="427" t="s">
        <v>58</v>
      </c>
      <c r="R63" s="423">
        <f>IF(Таблица68[[#This Row],[Столбец2]]="A",1,IF(Таблица68[[#This Row],[Столбец2]]="B",2,IF(Таблица68[[#This Row],[Столбец2]]="C",3)))</f>
        <v>1</v>
      </c>
      <c r="S63" s="413" t="s">
        <v>875</v>
      </c>
    </row>
    <row r="64" spans="1:19" ht="18" customHeight="1">
      <c r="A64" s="420" t="s">
        <v>176</v>
      </c>
      <c r="B64" s="422" t="s">
        <v>1055</v>
      </c>
      <c r="C64" s="422" t="s">
        <v>1062</v>
      </c>
      <c r="D64" s="423" t="s">
        <v>844</v>
      </c>
      <c r="E64" s="423" t="str">
        <f>RIGHT(Таблица68[[#This Row],[Полное  наименование]],18)</f>
        <v>SVA 20 D ANG PN 52</v>
      </c>
      <c r="F64" s="423" t="s">
        <v>267</v>
      </c>
      <c r="G64" s="423">
        <v>20</v>
      </c>
      <c r="H64" s="423">
        <v>52</v>
      </c>
      <c r="I64" s="423" t="s">
        <v>346</v>
      </c>
      <c r="J64" s="423" t="s">
        <v>924</v>
      </c>
      <c r="K64" s="424" t="s">
        <v>925</v>
      </c>
      <c r="L64" s="422" t="s">
        <v>1063</v>
      </c>
      <c r="M64" s="425">
        <v>32400</v>
      </c>
      <c r="N64" s="425">
        <f>M64*НДС!$A$1</f>
        <v>37584</v>
      </c>
      <c r="O64" s="426" t="s">
        <v>70</v>
      </c>
      <c r="P64" s="422"/>
      <c r="Q64" s="427" t="s">
        <v>58</v>
      </c>
      <c r="R64" s="423">
        <f>IF(Таблица68[[#This Row],[Столбец2]]="A",1,IF(Таблица68[[#This Row],[Столбец2]]="B",2,IF(Таблица68[[#This Row],[Столбец2]]="C",3)))</f>
        <v>1</v>
      </c>
      <c r="S64" s="413" t="s">
        <v>875</v>
      </c>
    </row>
    <row r="65" spans="1:21" ht="25">
      <c r="A65" s="420" t="s">
        <v>155</v>
      </c>
      <c r="B65" s="422" t="s">
        <v>1055</v>
      </c>
      <c r="C65" s="422" t="s">
        <v>1064</v>
      </c>
      <c r="D65" s="423" t="s">
        <v>844</v>
      </c>
      <c r="E65" s="423" t="str">
        <f>RIGHT(Таблица68[[#This Row],[Полное  наименование]],18)</f>
        <v>SVA 25 D STR PN 52</v>
      </c>
      <c r="F65" s="423" t="s">
        <v>257</v>
      </c>
      <c r="G65" s="423">
        <v>25</v>
      </c>
      <c r="H65" s="423">
        <v>52</v>
      </c>
      <c r="I65" s="423" t="s">
        <v>346</v>
      </c>
      <c r="J65" s="423" t="s">
        <v>924</v>
      </c>
      <c r="K65" s="424" t="s">
        <v>925</v>
      </c>
      <c r="L65" s="422" t="s">
        <v>1065</v>
      </c>
      <c r="M65" s="425">
        <v>39600</v>
      </c>
      <c r="N65" s="425">
        <f>M65*НДС!$A$1</f>
        <v>45936</v>
      </c>
      <c r="O65" s="426" t="s">
        <v>70</v>
      </c>
      <c r="P65" s="422"/>
      <c r="Q65" s="427" t="s">
        <v>58</v>
      </c>
      <c r="R65" s="423">
        <f>IF(Таблица68[[#This Row],[Столбец2]]="A",1,IF(Таблица68[[#This Row],[Столбец2]]="B",2,IF(Таблица68[[#This Row],[Столбец2]]="C",3)))</f>
        <v>1</v>
      </c>
      <c r="S65" s="413" t="s">
        <v>875</v>
      </c>
    </row>
    <row r="66" spans="1:21" ht="18" customHeight="1">
      <c r="A66" s="420" t="s">
        <v>177</v>
      </c>
      <c r="B66" s="422" t="s">
        <v>1055</v>
      </c>
      <c r="C66" s="422" t="s">
        <v>1066</v>
      </c>
      <c r="D66" s="423" t="s">
        <v>844</v>
      </c>
      <c r="E66" s="423" t="str">
        <f>RIGHT(Таблица68[[#This Row],[Полное  наименование]],18)</f>
        <v>SVA 25 D ANG PN 52</v>
      </c>
      <c r="F66" s="423" t="s">
        <v>267</v>
      </c>
      <c r="G66" s="423">
        <v>25</v>
      </c>
      <c r="H66" s="423">
        <v>52</v>
      </c>
      <c r="I66" s="423" t="s">
        <v>346</v>
      </c>
      <c r="J66" s="423" t="s">
        <v>924</v>
      </c>
      <c r="K66" s="424" t="s">
        <v>925</v>
      </c>
      <c r="L66" s="422" t="s">
        <v>1067</v>
      </c>
      <c r="M66" s="425">
        <v>39600</v>
      </c>
      <c r="N66" s="425">
        <f>M66*НДС!$A$1</f>
        <v>45936</v>
      </c>
      <c r="O66" s="426" t="s">
        <v>70</v>
      </c>
      <c r="P66" s="422"/>
      <c r="Q66" s="427" t="s">
        <v>58</v>
      </c>
      <c r="R66" s="423">
        <f>IF(Таблица68[[#This Row],[Столбец2]]="A",1,IF(Таблица68[[#This Row],[Столбец2]]="B",2,IF(Таблица68[[#This Row],[Столбец2]]="C",3)))</f>
        <v>1</v>
      </c>
      <c r="S66" s="413" t="s">
        <v>875</v>
      </c>
    </row>
    <row r="67" spans="1:21" ht="25">
      <c r="A67" s="420" t="s">
        <v>156</v>
      </c>
      <c r="B67" s="422" t="s">
        <v>1055</v>
      </c>
      <c r="C67" s="422" t="s">
        <v>1068</v>
      </c>
      <c r="D67" s="423" t="s">
        <v>844</v>
      </c>
      <c r="E67" s="423" t="str">
        <f>RIGHT(Таблица68[[#This Row],[Полное  наименование]],18)</f>
        <v>SVA 32 D STR PN 52</v>
      </c>
      <c r="F67" s="423" t="s">
        <v>257</v>
      </c>
      <c r="G67" s="423">
        <v>32</v>
      </c>
      <c r="H67" s="423">
        <v>52</v>
      </c>
      <c r="I67" s="423" t="s">
        <v>346</v>
      </c>
      <c r="J67" s="423" t="s">
        <v>924</v>
      </c>
      <c r="K67" s="424" t="s">
        <v>925</v>
      </c>
      <c r="L67" s="422" t="s">
        <v>1069</v>
      </c>
      <c r="M67" s="425">
        <v>50400</v>
      </c>
      <c r="N67" s="425">
        <f>M67*НДС!$A$1</f>
        <v>58463.999999999993</v>
      </c>
      <c r="O67" s="426" t="s">
        <v>70</v>
      </c>
      <c r="P67" s="422"/>
      <c r="Q67" s="427" t="s">
        <v>58</v>
      </c>
      <c r="R67" s="423">
        <f>IF(Таблица68[[#This Row],[Столбец2]]="A",1,IF(Таблица68[[#This Row],[Столбец2]]="B",2,IF(Таблица68[[#This Row],[Столбец2]]="C",3)))</f>
        <v>1</v>
      </c>
      <c r="S67" s="413" t="s">
        <v>875</v>
      </c>
    </row>
    <row r="68" spans="1:21" ht="15" customHeight="1">
      <c r="A68" s="420" t="s">
        <v>178</v>
      </c>
      <c r="B68" s="422" t="s">
        <v>1055</v>
      </c>
      <c r="C68" s="422" t="s">
        <v>1070</v>
      </c>
      <c r="D68" s="423" t="s">
        <v>844</v>
      </c>
      <c r="E68" s="423" t="str">
        <f>RIGHT(Таблица68[[#This Row],[Полное  наименование]],18)</f>
        <v>SVA 32 D ANG PN 52</v>
      </c>
      <c r="F68" s="423" t="s">
        <v>267</v>
      </c>
      <c r="G68" s="423">
        <v>32</v>
      </c>
      <c r="H68" s="423">
        <v>52</v>
      </c>
      <c r="I68" s="423" t="s">
        <v>346</v>
      </c>
      <c r="J68" s="423" t="s">
        <v>924</v>
      </c>
      <c r="K68" s="424" t="s">
        <v>925</v>
      </c>
      <c r="L68" s="422" t="s">
        <v>1071</v>
      </c>
      <c r="M68" s="425">
        <v>50400</v>
      </c>
      <c r="N68" s="425">
        <f>M68*НДС!$A$1</f>
        <v>58463.999999999993</v>
      </c>
      <c r="O68" s="426" t="s">
        <v>70</v>
      </c>
      <c r="P68" s="422"/>
      <c r="Q68" s="427" t="s">
        <v>58</v>
      </c>
      <c r="R68" s="423">
        <f>IF(Таблица68[[#This Row],[Столбец2]]="A",1,IF(Таблица68[[#This Row],[Столбец2]]="B",2,IF(Таблица68[[#This Row],[Столбец2]]="C",3)))</f>
        <v>1</v>
      </c>
      <c r="S68" s="413" t="s">
        <v>875</v>
      </c>
    </row>
    <row r="69" spans="1:21" ht="25">
      <c r="A69" s="420" t="s">
        <v>157</v>
      </c>
      <c r="B69" s="422" t="s">
        <v>1055</v>
      </c>
      <c r="C69" s="422" t="s">
        <v>1072</v>
      </c>
      <c r="D69" s="423" t="s">
        <v>844</v>
      </c>
      <c r="E69" s="423" t="str">
        <f>RIGHT(Таблица68[[#This Row],[Полное  наименование]],18)</f>
        <v>SVA 40 D STR PN 52</v>
      </c>
      <c r="F69" s="423" t="s">
        <v>257</v>
      </c>
      <c r="G69" s="423">
        <v>40</v>
      </c>
      <c r="H69" s="423">
        <v>52</v>
      </c>
      <c r="I69" s="423" t="s">
        <v>346</v>
      </c>
      <c r="J69" s="423" t="s">
        <v>924</v>
      </c>
      <c r="K69" s="424" t="s">
        <v>925</v>
      </c>
      <c r="L69" s="422" t="s">
        <v>1073</v>
      </c>
      <c r="M69" s="425">
        <v>67200</v>
      </c>
      <c r="N69" s="425">
        <f>M69*НДС!$A$1</f>
        <v>77952</v>
      </c>
      <c r="O69" s="426" t="s">
        <v>70</v>
      </c>
      <c r="P69" s="422"/>
      <c r="Q69" s="427" t="s">
        <v>58</v>
      </c>
      <c r="R69" s="423">
        <f>IF(Таблица68[[#This Row],[Столбец2]]="A",1,IF(Таблица68[[#This Row],[Столбец2]]="B",2,IF(Таблица68[[#This Row],[Столбец2]]="C",3)))</f>
        <v>1</v>
      </c>
      <c r="S69" s="413" t="s">
        <v>875</v>
      </c>
    </row>
    <row r="70" spans="1:21" ht="18" customHeight="1">
      <c r="A70" s="420" t="s">
        <v>179</v>
      </c>
      <c r="B70" s="422" t="s">
        <v>1055</v>
      </c>
      <c r="C70" s="422" t="s">
        <v>1074</v>
      </c>
      <c r="D70" s="423" t="s">
        <v>844</v>
      </c>
      <c r="E70" s="423" t="str">
        <f>RIGHT(Таблица68[[#This Row],[Полное  наименование]],18)</f>
        <v>SVA 40 D ANG PN 52</v>
      </c>
      <c r="F70" s="423" t="s">
        <v>267</v>
      </c>
      <c r="G70" s="423">
        <v>40</v>
      </c>
      <c r="H70" s="423">
        <v>52</v>
      </c>
      <c r="I70" s="423" t="s">
        <v>346</v>
      </c>
      <c r="J70" s="423" t="s">
        <v>924</v>
      </c>
      <c r="K70" s="424" t="s">
        <v>925</v>
      </c>
      <c r="L70" s="422" t="s">
        <v>1075</v>
      </c>
      <c r="M70" s="425">
        <v>67200</v>
      </c>
      <c r="N70" s="425">
        <f>M70*НДС!$A$1</f>
        <v>77952</v>
      </c>
      <c r="O70" s="426" t="s">
        <v>70</v>
      </c>
      <c r="P70" s="422"/>
      <c r="Q70" s="427" t="s">
        <v>58</v>
      </c>
      <c r="R70" s="423">
        <f>IF(Таблица68[[#This Row],[Столбец2]]="A",1,IF(Таблица68[[#This Row],[Столбец2]]="B",2,IF(Таблица68[[#This Row],[Столбец2]]="C",3)))</f>
        <v>1</v>
      </c>
      <c r="S70" s="413" t="s">
        <v>875</v>
      </c>
    </row>
    <row r="71" spans="1:21" ht="25">
      <c r="A71" s="420" t="s">
        <v>158</v>
      </c>
      <c r="B71" s="422" t="s">
        <v>1055</v>
      </c>
      <c r="C71" s="422" t="s">
        <v>1076</v>
      </c>
      <c r="D71" s="423" t="s">
        <v>844</v>
      </c>
      <c r="E71" s="423" t="str">
        <f>RIGHT(Таблица68[[#This Row],[Полное  наименование]],18)</f>
        <v>SVA 50 D STR PN 52</v>
      </c>
      <c r="F71" s="423" t="s">
        <v>257</v>
      </c>
      <c r="G71" s="423">
        <v>50</v>
      </c>
      <c r="H71" s="423">
        <v>52</v>
      </c>
      <c r="I71" s="423" t="s">
        <v>346</v>
      </c>
      <c r="J71" s="423" t="s">
        <v>924</v>
      </c>
      <c r="K71" s="424" t="s">
        <v>925</v>
      </c>
      <c r="L71" s="422" t="s">
        <v>1077</v>
      </c>
      <c r="M71" s="425">
        <v>81000</v>
      </c>
      <c r="N71" s="425">
        <f>M71*НДС!$A$1</f>
        <v>93960</v>
      </c>
      <c r="O71" s="426" t="s">
        <v>70</v>
      </c>
      <c r="P71" s="422"/>
      <c r="Q71" s="427" t="s">
        <v>58</v>
      </c>
      <c r="R71" s="423">
        <f>IF(Таблица68[[#This Row],[Столбец2]]="A",1,IF(Таблица68[[#This Row],[Столбец2]]="B",2,IF(Таблица68[[#This Row],[Столбец2]]="C",3)))</f>
        <v>1</v>
      </c>
      <c r="S71" s="413" t="s">
        <v>875</v>
      </c>
    </row>
    <row r="72" spans="1:21" ht="14.25" customHeight="1">
      <c r="A72" s="420" t="s">
        <v>180</v>
      </c>
      <c r="B72" s="422" t="s">
        <v>1055</v>
      </c>
      <c r="C72" s="422" t="s">
        <v>1078</v>
      </c>
      <c r="D72" s="423" t="s">
        <v>844</v>
      </c>
      <c r="E72" s="423" t="str">
        <f>RIGHT(Таблица68[[#This Row],[Полное  наименование]],18)</f>
        <v>SVA 50 D ANG PN 52</v>
      </c>
      <c r="F72" s="423" t="s">
        <v>267</v>
      </c>
      <c r="G72" s="423">
        <v>50</v>
      </c>
      <c r="H72" s="423">
        <v>52</v>
      </c>
      <c r="I72" s="423" t="s">
        <v>346</v>
      </c>
      <c r="J72" s="423" t="s">
        <v>924</v>
      </c>
      <c r="K72" s="424" t="s">
        <v>925</v>
      </c>
      <c r="L72" s="422" t="s">
        <v>1079</v>
      </c>
      <c r="M72" s="425">
        <v>81000</v>
      </c>
      <c r="N72" s="425">
        <f>M72*НДС!$A$1</f>
        <v>93960</v>
      </c>
      <c r="O72" s="426" t="s">
        <v>70</v>
      </c>
      <c r="P72" s="422"/>
      <c r="Q72" s="427" t="s">
        <v>58</v>
      </c>
      <c r="R72" s="423">
        <f>IF(Таблица68[[#This Row],[Столбец2]]="A",1,IF(Таблица68[[#This Row],[Столбец2]]="B",2,IF(Таблица68[[#This Row],[Столбец2]]="C",3)))</f>
        <v>1</v>
      </c>
      <c r="S72" s="413" t="s">
        <v>875</v>
      </c>
    </row>
    <row r="73" spans="1:21" ht="25">
      <c r="A73" s="420" t="s">
        <v>159</v>
      </c>
      <c r="B73" s="422" t="s">
        <v>1055</v>
      </c>
      <c r="C73" s="422" t="s">
        <v>1080</v>
      </c>
      <c r="D73" s="423" t="s">
        <v>844</v>
      </c>
      <c r="E73" s="423" t="str">
        <f>RIGHT(Таблица68[[#This Row],[Полное  наименование]],18)</f>
        <v>SVA 65 D STR PN 52</v>
      </c>
      <c r="F73" s="423" t="s">
        <v>257</v>
      </c>
      <c r="G73" s="423">
        <v>65</v>
      </c>
      <c r="H73" s="423">
        <v>52</v>
      </c>
      <c r="I73" s="423" t="s">
        <v>346</v>
      </c>
      <c r="J73" s="423" t="s">
        <v>924</v>
      </c>
      <c r="K73" s="424" t="s">
        <v>925</v>
      </c>
      <c r="L73" s="422" t="s">
        <v>1081</v>
      </c>
      <c r="M73" s="425">
        <v>105000</v>
      </c>
      <c r="N73" s="425">
        <f>M73*НДС!$A$1</f>
        <v>121799.99999999999</v>
      </c>
      <c r="O73" s="426" t="s">
        <v>70</v>
      </c>
      <c r="P73" s="422"/>
      <c r="Q73" s="427" t="s">
        <v>58</v>
      </c>
      <c r="R73" s="423">
        <f>IF(Таблица68[[#This Row],[Столбец2]]="A",1,IF(Таблица68[[#This Row],[Столбец2]]="B",2,IF(Таблица68[[#This Row],[Столбец2]]="C",3)))</f>
        <v>1</v>
      </c>
      <c r="S73" s="413" t="s">
        <v>875</v>
      </c>
    </row>
    <row r="74" spans="1:21" ht="18" customHeight="1">
      <c r="A74" s="420" t="s">
        <v>181</v>
      </c>
      <c r="B74" s="422" t="s">
        <v>1055</v>
      </c>
      <c r="C74" s="422" t="s">
        <v>1082</v>
      </c>
      <c r="D74" s="423" t="s">
        <v>844</v>
      </c>
      <c r="E74" s="423" t="str">
        <f>RIGHT(Таблица68[[#This Row],[Полное  наименование]],18)</f>
        <v>SVA 65 D ANG PN 52</v>
      </c>
      <c r="F74" s="423" t="s">
        <v>267</v>
      </c>
      <c r="G74" s="423">
        <v>65</v>
      </c>
      <c r="H74" s="423">
        <v>52</v>
      </c>
      <c r="I74" s="423" t="s">
        <v>346</v>
      </c>
      <c r="J74" s="423" t="s">
        <v>924</v>
      </c>
      <c r="K74" s="424" t="s">
        <v>925</v>
      </c>
      <c r="L74" s="422" t="s">
        <v>1083</v>
      </c>
      <c r="M74" s="425">
        <v>105000</v>
      </c>
      <c r="N74" s="425">
        <f>M74*НДС!$A$1</f>
        <v>121799.99999999999</v>
      </c>
      <c r="O74" s="426" t="s">
        <v>70</v>
      </c>
      <c r="P74" s="422"/>
      <c r="Q74" s="427" t="s">
        <v>58</v>
      </c>
      <c r="R74" s="423">
        <f>IF(Таблица68[[#This Row],[Столбец2]]="A",1,IF(Таблица68[[#This Row],[Столбец2]]="B",2,IF(Таблица68[[#This Row],[Столбец2]]="C",3)))</f>
        <v>1</v>
      </c>
      <c r="S74" s="413" t="s">
        <v>875</v>
      </c>
    </row>
    <row r="75" spans="1:21" ht="16.5">
      <c r="A75" s="420" t="s">
        <v>160</v>
      </c>
      <c r="B75" s="422" t="s">
        <v>1055</v>
      </c>
      <c r="C75" s="422" t="s">
        <v>1084</v>
      </c>
      <c r="D75" s="423" t="s">
        <v>844</v>
      </c>
      <c r="E75" s="423" t="str">
        <f>RIGHT(Таблица68[[#This Row],[Полное  наименование]],18)</f>
        <v>SVA 80 D STR PN 52</v>
      </c>
      <c r="F75" s="423" t="s">
        <v>257</v>
      </c>
      <c r="G75" s="423">
        <v>80</v>
      </c>
      <c r="H75" s="423">
        <v>52</v>
      </c>
      <c r="I75" s="423" t="s">
        <v>346</v>
      </c>
      <c r="J75" s="423" t="s">
        <v>924</v>
      </c>
      <c r="K75" s="424" t="s">
        <v>925</v>
      </c>
      <c r="L75" s="422" t="s">
        <v>1085</v>
      </c>
      <c r="M75" s="425">
        <v>121800</v>
      </c>
      <c r="N75" s="425">
        <f>M75*НДС!$A$1</f>
        <v>141288</v>
      </c>
      <c r="O75" s="426" t="s">
        <v>70</v>
      </c>
      <c r="P75" s="422"/>
      <c r="Q75" s="450" t="s">
        <v>61</v>
      </c>
      <c r="R75" s="423">
        <f>IF(Таблица68[[#This Row],[Столбец2]]="A",1,IF(Таблица68[[#This Row],[Столбец2]]="B",2,IF(Таблица68[[#This Row],[Столбец2]]="C",3)))</f>
        <v>2</v>
      </c>
      <c r="S75" s="413" t="s">
        <v>882</v>
      </c>
    </row>
    <row r="76" spans="1:21" ht="18" customHeight="1">
      <c r="A76" s="420" t="s">
        <v>182</v>
      </c>
      <c r="B76" s="422" t="s">
        <v>1055</v>
      </c>
      <c r="C76" s="422" t="s">
        <v>1086</v>
      </c>
      <c r="D76" s="423" t="s">
        <v>844</v>
      </c>
      <c r="E76" s="423" t="str">
        <f>RIGHT(Таблица68[[#This Row],[Полное  наименование]],18)</f>
        <v>SVA 80 D ANG PN 52</v>
      </c>
      <c r="F76" s="423" t="s">
        <v>267</v>
      </c>
      <c r="G76" s="423">
        <v>80</v>
      </c>
      <c r="H76" s="423">
        <v>52</v>
      </c>
      <c r="I76" s="423" t="s">
        <v>346</v>
      </c>
      <c r="J76" s="423" t="s">
        <v>924</v>
      </c>
      <c r="K76" s="424" t="s">
        <v>925</v>
      </c>
      <c r="L76" s="422" t="s">
        <v>1087</v>
      </c>
      <c r="M76" s="425">
        <v>121800</v>
      </c>
      <c r="N76" s="425">
        <f>M76*НДС!$A$1</f>
        <v>141288</v>
      </c>
      <c r="O76" s="426" t="s">
        <v>70</v>
      </c>
      <c r="P76" s="422"/>
      <c r="Q76" s="427" t="s">
        <v>58</v>
      </c>
      <c r="R76" s="423">
        <f>IF(Таблица68[[#This Row],[Столбец2]]="A",1,IF(Таблица68[[#This Row],[Столбец2]]="B",2,IF(Таблица68[[#This Row],[Столбец2]]="C",3)))</f>
        <v>1</v>
      </c>
      <c r="S76" s="413" t="s">
        <v>875</v>
      </c>
    </row>
    <row r="77" spans="1:21" s="453" customFormat="1" ht="15.75" customHeight="1">
      <c r="A77" s="420" t="s">
        <v>161</v>
      </c>
      <c r="B77" s="422" t="s">
        <v>1055</v>
      </c>
      <c r="C77" s="422" t="s">
        <v>1088</v>
      </c>
      <c r="D77" s="423" t="s">
        <v>844</v>
      </c>
      <c r="E77" s="423" t="str">
        <f>RIGHT(Таблица68[[#This Row],[Полное  наименование]],19)</f>
        <v>SVA 100 D STR PN 52</v>
      </c>
      <c r="F77" s="423" t="s">
        <v>257</v>
      </c>
      <c r="G77" s="423">
        <v>100</v>
      </c>
      <c r="H77" s="423">
        <v>52</v>
      </c>
      <c r="I77" s="423" t="s">
        <v>346</v>
      </c>
      <c r="J77" s="423" t="s">
        <v>924</v>
      </c>
      <c r="K77" s="424" t="s">
        <v>925</v>
      </c>
      <c r="L77" s="422" t="s">
        <v>1089</v>
      </c>
      <c r="M77" s="425">
        <v>246000</v>
      </c>
      <c r="N77" s="425">
        <f>M77*НДС!$A$1</f>
        <v>285360</v>
      </c>
      <c r="O77" s="426" t="s">
        <v>70</v>
      </c>
      <c r="P77" s="451"/>
      <c r="Q77" s="450" t="s">
        <v>61</v>
      </c>
      <c r="R77" s="423">
        <f>IF(Таблица68[[#This Row],[Столбец2]]="A",1,IF(Таблица68[[#This Row],[Столбец2]]="B",2,IF(Таблица68[[#This Row],[Столбец2]]="C",3)))</f>
        <v>2</v>
      </c>
      <c r="S77" s="452" t="s">
        <v>882</v>
      </c>
      <c r="U77" s="411"/>
    </row>
    <row r="78" spans="1:21" s="453" customFormat="1" ht="25">
      <c r="A78" s="420" t="s">
        <v>183</v>
      </c>
      <c r="B78" s="422" t="s">
        <v>1055</v>
      </c>
      <c r="C78" s="422" t="s">
        <v>1090</v>
      </c>
      <c r="D78" s="423" t="s">
        <v>844</v>
      </c>
      <c r="E78" s="423" t="str">
        <f>RIGHT(Таблица68[[#This Row],[Полное  наименование]],19)</f>
        <v>SVA 100 D ANG PN 52</v>
      </c>
      <c r="F78" s="423" t="s">
        <v>267</v>
      </c>
      <c r="G78" s="423">
        <v>100</v>
      </c>
      <c r="H78" s="423">
        <v>52</v>
      </c>
      <c r="I78" s="423" t="s">
        <v>346</v>
      </c>
      <c r="J78" s="423" t="s">
        <v>924</v>
      </c>
      <c r="K78" s="424" t="s">
        <v>925</v>
      </c>
      <c r="L78" s="422" t="s">
        <v>1091</v>
      </c>
      <c r="M78" s="425">
        <v>246000</v>
      </c>
      <c r="N78" s="425">
        <f>M78*НДС!$A$1</f>
        <v>285360</v>
      </c>
      <c r="O78" s="426" t="s">
        <v>70</v>
      </c>
      <c r="P78" s="451"/>
      <c r="Q78" s="427" t="s">
        <v>58</v>
      </c>
      <c r="R78" s="423">
        <f>IF(Таблица68[[#This Row],[Столбец2]]="A",1,IF(Таблица68[[#This Row],[Столбец2]]="B",2,IF(Таблица68[[#This Row],[Столбец2]]="C",3)))</f>
        <v>1</v>
      </c>
      <c r="S78" s="452" t="s">
        <v>875</v>
      </c>
      <c r="U78" s="411"/>
    </row>
    <row r="79" spans="1:21" s="453" customFormat="1" ht="16.5">
      <c r="A79" s="420" t="s">
        <v>165</v>
      </c>
      <c r="B79" s="422" t="s">
        <v>1055</v>
      </c>
      <c r="C79" s="422" t="s">
        <v>1092</v>
      </c>
      <c r="D79" s="423" t="s">
        <v>844</v>
      </c>
      <c r="E79" s="423" t="str">
        <f>RIGHT(Таблица68[[#This Row],[Полное  наименование]],19)</f>
        <v>SVA 125 D STR PN 52</v>
      </c>
      <c r="F79" s="423" t="s">
        <v>257</v>
      </c>
      <c r="G79" s="423">
        <v>125</v>
      </c>
      <c r="H79" s="423">
        <v>52</v>
      </c>
      <c r="I79" s="423" t="s">
        <v>346</v>
      </c>
      <c r="J79" s="423" t="s">
        <v>924</v>
      </c>
      <c r="K79" s="424" t="s">
        <v>925</v>
      </c>
      <c r="L79" s="422" t="s">
        <v>1093</v>
      </c>
      <c r="M79" s="425">
        <v>420000</v>
      </c>
      <c r="N79" s="425">
        <f>M79*НДС!$A$1</f>
        <v>487199.99999999994</v>
      </c>
      <c r="O79" s="426" t="s">
        <v>70</v>
      </c>
      <c r="P79" s="451"/>
      <c r="Q79" s="450" t="s">
        <v>61</v>
      </c>
      <c r="R79" s="423">
        <f>IF(Таблица68[[#This Row],[Столбец2]]="A",1,IF(Таблица68[[#This Row],[Столбец2]]="B",2,IF(Таблица68[[#This Row],[Столбец2]]="C",3)))</f>
        <v>2</v>
      </c>
      <c r="S79" s="452" t="s">
        <v>882</v>
      </c>
      <c r="U79" s="411"/>
    </row>
    <row r="80" spans="1:21" s="453" customFormat="1" ht="25">
      <c r="A80" s="420" t="s">
        <v>187</v>
      </c>
      <c r="B80" s="422" t="s">
        <v>1055</v>
      </c>
      <c r="C80" s="422" t="s">
        <v>1094</v>
      </c>
      <c r="D80" s="423" t="s">
        <v>844</v>
      </c>
      <c r="E80" s="423" t="str">
        <f>RIGHT(Таблица68[[#This Row],[Полное  наименование]],19)</f>
        <v>SVA 125 D ANG PN 52</v>
      </c>
      <c r="F80" s="423" t="s">
        <v>267</v>
      </c>
      <c r="G80" s="423">
        <v>125</v>
      </c>
      <c r="H80" s="423">
        <v>52</v>
      </c>
      <c r="I80" s="423" t="s">
        <v>346</v>
      </c>
      <c r="J80" s="423" t="s">
        <v>924</v>
      </c>
      <c r="K80" s="424" t="s">
        <v>925</v>
      </c>
      <c r="L80" s="422" t="s">
        <v>1095</v>
      </c>
      <c r="M80" s="425">
        <v>420000</v>
      </c>
      <c r="N80" s="425">
        <f>M80*НДС!$A$1</f>
        <v>487199.99999999994</v>
      </c>
      <c r="O80" s="426" t="s">
        <v>70</v>
      </c>
      <c r="P80" s="451"/>
      <c r="Q80" s="427" t="s">
        <v>58</v>
      </c>
      <c r="R80" s="423">
        <f>IF(Таблица68[[#This Row],[Столбец2]]="A",1,IF(Таблица68[[#This Row],[Столбец2]]="B",2,IF(Таблица68[[#This Row],[Столбец2]]="C",3)))</f>
        <v>1</v>
      </c>
      <c r="S80" s="452" t="s">
        <v>875</v>
      </c>
      <c r="U80" s="411"/>
    </row>
    <row r="81" spans="1:21" s="453" customFormat="1" ht="16.5">
      <c r="A81" s="420" t="s">
        <v>169</v>
      </c>
      <c r="B81" s="422" t="s">
        <v>1055</v>
      </c>
      <c r="C81" s="422" t="s">
        <v>1096</v>
      </c>
      <c r="D81" s="423" t="s">
        <v>844</v>
      </c>
      <c r="E81" s="423" t="str">
        <f>RIGHT(Таблица68[[#This Row],[Полное  наименование]],19)</f>
        <v>SVA 150 D STR PN 52</v>
      </c>
      <c r="F81" s="423" t="s">
        <v>257</v>
      </c>
      <c r="G81" s="423">
        <v>150</v>
      </c>
      <c r="H81" s="423">
        <v>52</v>
      </c>
      <c r="I81" s="423" t="s">
        <v>346</v>
      </c>
      <c r="J81" s="423" t="s">
        <v>924</v>
      </c>
      <c r="K81" s="424" t="s">
        <v>925</v>
      </c>
      <c r="L81" s="422" t="s">
        <v>1097</v>
      </c>
      <c r="M81" s="425">
        <v>588000</v>
      </c>
      <c r="N81" s="425">
        <f>M81*НДС!$A$1</f>
        <v>682080</v>
      </c>
      <c r="O81" s="426" t="s">
        <v>70</v>
      </c>
      <c r="P81" s="451"/>
      <c r="Q81" s="450" t="s">
        <v>61</v>
      </c>
      <c r="R81" s="423">
        <f>IF(Таблица68[[#This Row],[Столбец2]]="A",1,IF(Таблица68[[#This Row],[Столбец2]]="B",2,IF(Таблица68[[#This Row],[Столбец2]]="C",3)))</f>
        <v>2</v>
      </c>
      <c r="S81" s="452" t="s">
        <v>882</v>
      </c>
      <c r="U81" s="411"/>
    </row>
    <row r="82" spans="1:21" s="453" customFormat="1" ht="15" customHeight="1">
      <c r="A82" s="420" t="s">
        <v>191</v>
      </c>
      <c r="B82" s="422" t="s">
        <v>1055</v>
      </c>
      <c r="C82" s="422" t="s">
        <v>1098</v>
      </c>
      <c r="D82" s="423" t="s">
        <v>844</v>
      </c>
      <c r="E82" s="423" t="str">
        <f>RIGHT(Таблица68[[#This Row],[Полное  наименование]],19)</f>
        <v>SVA 150 D ANG PN 52</v>
      </c>
      <c r="F82" s="423" t="s">
        <v>267</v>
      </c>
      <c r="G82" s="423">
        <v>150</v>
      </c>
      <c r="H82" s="423">
        <v>52</v>
      </c>
      <c r="I82" s="423" t="s">
        <v>346</v>
      </c>
      <c r="J82" s="423" t="s">
        <v>924</v>
      </c>
      <c r="K82" s="424" t="s">
        <v>925</v>
      </c>
      <c r="L82" s="422" t="s">
        <v>1099</v>
      </c>
      <c r="M82" s="425">
        <v>588000</v>
      </c>
      <c r="N82" s="425">
        <f>M82*НДС!$A$1</f>
        <v>682080</v>
      </c>
      <c r="O82" s="426" t="s">
        <v>70</v>
      </c>
      <c r="P82" s="451"/>
      <c r="Q82" s="429" t="s">
        <v>65</v>
      </c>
      <c r="R82" s="423">
        <f>IF(Таблица68[[#This Row],[Столбец2]]="A",1,IF(Таблица68[[#This Row],[Столбец2]]="B",2,IF(Таблица68[[#This Row],[Столбец2]]="C",3)))</f>
        <v>3</v>
      </c>
      <c r="S82" s="452" t="s">
        <v>878</v>
      </c>
      <c r="U82" s="411"/>
    </row>
    <row r="83" spans="1:21" ht="17.25" customHeight="1">
      <c r="A83" s="420" t="s">
        <v>163</v>
      </c>
      <c r="B83" s="422" t="s">
        <v>1055</v>
      </c>
      <c r="C83" s="422" t="s">
        <v>1100</v>
      </c>
      <c r="D83" s="423" t="s">
        <v>844</v>
      </c>
      <c r="E83" s="423" t="str">
        <f>RIGHT(Таблица68[[#This Row],[Полное  наименование]],19)</f>
        <v>SVA 100 D STR PN 40</v>
      </c>
      <c r="F83" s="423" t="s">
        <v>257</v>
      </c>
      <c r="G83" s="423">
        <v>100</v>
      </c>
      <c r="H83" s="423">
        <v>40</v>
      </c>
      <c r="I83" s="423" t="s">
        <v>346</v>
      </c>
      <c r="J83" s="423" t="s">
        <v>924</v>
      </c>
      <c r="K83" s="424" t="s">
        <v>925</v>
      </c>
      <c r="L83" s="422" t="s">
        <v>1089</v>
      </c>
      <c r="M83" s="425">
        <v>210000</v>
      </c>
      <c r="N83" s="425">
        <f>M83*НДС!$A$1</f>
        <v>243599.99999999997</v>
      </c>
      <c r="O83" s="426" t="s">
        <v>70</v>
      </c>
      <c r="P83" s="422"/>
      <c r="Q83" s="450" t="s">
        <v>61</v>
      </c>
      <c r="R83" s="423">
        <f>IF(Таблица68[[#This Row],[Столбец2]]="A",1,IF(Таблица68[[#This Row],[Столбец2]]="B",2,IF(Таблица68[[#This Row],[Столбец2]]="C",3)))</f>
        <v>2</v>
      </c>
      <c r="S83" s="413" t="s">
        <v>882</v>
      </c>
    </row>
    <row r="84" spans="1:21" ht="15" customHeight="1">
      <c r="A84" s="420" t="s">
        <v>185</v>
      </c>
      <c r="B84" s="422" t="s">
        <v>1055</v>
      </c>
      <c r="C84" s="422" t="s">
        <v>1101</v>
      </c>
      <c r="D84" s="423" t="s">
        <v>844</v>
      </c>
      <c r="E84" s="423" t="str">
        <f>RIGHT(Таблица68[[#This Row],[Полное  наименование]],19)</f>
        <v>SVA 100 D ANG PN 40</v>
      </c>
      <c r="F84" s="423" t="s">
        <v>267</v>
      </c>
      <c r="G84" s="423">
        <v>100</v>
      </c>
      <c r="H84" s="423">
        <v>40</v>
      </c>
      <c r="I84" s="423" t="s">
        <v>346</v>
      </c>
      <c r="J84" s="423" t="s">
        <v>924</v>
      </c>
      <c r="K84" s="424" t="s">
        <v>925</v>
      </c>
      <c r="L84" s="422" t="s">
        <v>1091</v>
      </c>
      <c r="M84" s="425">
        <v>210000</v>
      </c>
      <c r="N84" s="425">
        <f>M84*НДС!$A$1</f>
        <v>243599.99999999997</v>
      </c>
      <c r="O84" s="426" t="s">
        <v>70</v>
      </c>
      <c r="P84" s="422"/>
      <c r="Q84" s="450" t="s">
        <v>61</v>
      </c>
      <c r="R84" s="423">
        <f>IF(Таблица68[[#This Row],[Столбец2]]="A",1,IF(Таблица68[[#This Row],[Столбец2]]="B",2,IF(Таблица68[[#This Row],[Столбец2]]="C",3)))</f>
        <v>2</v>
      </c>
      <c r="S84" s="413" t="s">
        <v>882</v>
      </c>
    </row>
    <row r="85" spans="1:21" ht="18" customHeight="1">
      <c r="A85" s="420" t="s">
        <v>167</v>
      </c>
      <c r="B85" s="422" t="s">
        <v>1055</v>
      </c>
      <c r="C85" s="422" t="s">
        <v>1102</v>
      </c>
      <c r="D85" s="423" t="s">
        <v>844</v>
      </c>
      <c r="E85" s="423" t="str">
        <f>RIGHT(Таблица68[[#This Row],[Полное  наименование]],19)</f>
        <v>SVA 125 D STR PN 40</v>
      </c>
      <c r="F85" s="423" t="s">
        <v>257</v>
      </c>
      <c r="G85" s="423">
        <v>125</v>
      </c>
      <c r="H85" s="423">
        <v>40</v>
      </c>
      <c r="I85" s="423" t="s">
        <v>346</v>
      </c>
      <c r="J85" s="423" t="s">
        <v>924</v>
      </c>
      <c r="K85" s="424" t="s">
        <v>925</v>
      </c>
      <c r="L85" s="422" t="s">
        <v>1093</v>
      </c>
      <c r="M85" s="425">
        <v>348000</v>
      </c>
      <c r="N85" s="425">
        <f>M85*НДС!$A$1</f>
        <v>403680</v>
      </c>
      <c r="O85" s="426" t="s">
        <v>70</v>
      </c>
      <c r="P85" s="422"/>
      <c r="Q85" s="450" t="s">
        <v>61</v>
      </c>
      <c r="R85" s="423">
        <f>IF(Таблица68[[#This Row],[Столбец2]]="A",1,IF(Таблица68[[#This Row],[Столбец2]]="B",2,IF(Таблица68[[#This Row],[Столбец2]]="C",3)))</f>
        <v>2</v>
      </c>
      <c r="S85" s="413" t="s">
        <v>882</v>
      </c>
    </row>
    <row r="86" spans="1:21" ht="15.75" customHeight="1">
      <c r="A86" s="420" t="s">
        <v>189</v>
      </c>
      <c r="B86" s="422" t="s">
        <v>1055</v>
      </c>
      <c r="C86" s="422" t="s">
        <v>1103</v>
      </c>
      <c r="D86" s="423" t="s">
        <v>844</v>
      </c>
      <c r="E86" s="423" t="str">
        <f>RIGHT(Таблица68[[#This Row],[Полное  наименование]],19)</f>
        <v>SVA 125 D ANG PN 40</v>
      </c>
      <c r="F86" s="423" t="s">
        <v>267</v>
      </c>
      <c r="G86" s="423">
        <v>125</v>
      </c>
      <c r="H86" s="423">
        <v>40</v>
      </c>
      <c r="I86" s="423" t="s">
        <v>346</v>
      </c>
      <c r="J86" s="423" t="s">
        <v>924</v>
      </c>
      <c r="K86" s="424" t="s">
        <v>925</v>
      </c>
      <c r="L86" s="422" t="s">
        <v>1095</v>
      </c>
      <c r="M86" s="425">
        <v>348000</v>
      </c>
      <c r="N86" s="425">
        <f>M86*НДС!$A$1</f>
        <v>403680</v>
      </c>
      <c r="O86" s="426" t="s">
        <v>70</v>
      </c>
      <c r="P86" s="422"/>
      <c r="Q86" s="450" t="s">
        <v>61</v>
      </c>
      <c r="R86" s="423">
        <f>IF(Таблица68[[#This Row],[Столбец2]]="A",1,IF(Таблица68[[#This Row],[Столбец2]]="B",2,IF(Таблица68[[#This Row],[Столбец2]]="C",3)))</f>
        <v>2</v>
      </c>
      <c r="S86" s="413" t="s">
        <v>882</v>
      </c>
    </row>
    <row r="87" spans="1:21" ht="16.5" customHeight="1">
      <c r="A87" s="420" t="s">
        <v>171</v>
      </c>
      <c r="B87" s="422" t="s">
        <v>1055</v>
      </c>
      <c r="C87" s="422" t="s">
        <v>1104</v>
      </c>
      <c r="D87" s="423" t="s">
        <v>844</v>
      </c>
      <c r="E87" s="423" t="str">
        <f>RIGHT(Таблица68[[#This Row],[Полное  наименование]],19)</f>
        <v>SVA 150 D STR PN 40</v>
      </c>
      <c r="F87" s="423" t="s">
        <v>257</v>
      </c>
      <c r="G87" s="423">
        <v>150</v>
      </c>
      <c r="H87" s="423">
        <v>40</v>
      </c>
      <c r="I87" s="423" t="s">
        <v>346</v>
      </c>
      <c r="J87" s="423" t="s">
        <v>924</v>
      </c>
      <c r="K87" s="424" t="s">
        <v>925</v>
      </c>
      <c r="L87" s="422" t="s">
        <v>1097</v>
      </c>
      <c r="M87" s="425">
        <v>492000</v>
      </c>
      <c r="N87" s="425">
        <f>M87*НДС!$A$1</f>
        <v>570720</v>
      </c>
      <c r="O87" s="426" t="s">
        <v>70</v>
      </c>
      <c r="P87" s="422"/>
      <c r="Q87" s="450" t="s">
        <v>61</v>
      </c>
      <c r="R87" s="423">
        <f>IF(Таблица68[[#This Row],[Столбец2]]="A",1,IF(Таблица68[[#This Row],[Столбец2]]="B",2,IF(Таблица68[[#This Row],[Столбец2]]="C",3)))</f>
        <v>2</v>
      </c>
      <c r="S87" s="413" t="s">
        <v>882</v>
      </c>
    </row>
    <row r="88" spans="1:21" ht="15" customHeight="1">
      <c r="A88" s="420" t="s">
        <v>193</v>
      </c>
      <c r="B88" s="422" t="s">
        <v>1055</v>
      </c>
      <c r="C88" s="422" t="s">
        <v>1105</v>
      </c>
      <c r="D88" s="423" t="s">
        <v>844</v>
      </c>
      <c r="E88" s="423" t="str">
        <f>RIGHT(Таблица68[[#This Row],[Полное  наименование]],19)</f>
        <v>SVA 150 D ANG PN 40</v>
      </c>
      <c r="F88" s="423" t="s">
        <v>267</v>
      </c>
      <c r="G88" s="423">
        <v>150</v>
      </c>
      <c r="H88" s="423">
        <v>40</v>
      </c>
      <c r="I88" s="423" t="s">
        <v>346</v>
      </c>
      <c r="J88" s="423" t="s">
        <v>924</v>
      </c>
      <c r="K88" s="424" t="s">
        <v>925</v>
      </c>
      <c r="L88" s="422" t="s">
        <v>1099</v>
      </c>
      <c r="M88" s="425">
        <v>492000</v>
      </c>
      <c r="N88" s="425">
        <f>M88*НДС!$A$1</f>
        <v>570720</v>
      </c>
      <c r="O88" s="426" t="s">
        <v>70</v>
      </c>
      <c r="P88" s="422"/>
      <c r="Q88" s="429" t="s">
        <v>65</v>
      </c>
      <c r="R88" s="423">
        <f>IF(Таблица68[[#This Row],[Столбец2]]="A",1,IF(Таблица68[[#This Row],[Столбец2]]="B",2,IF(Таблица68[[#This Row],[Столбец2]]="C",3)))</f>
        <v>3</v>
      </c>
      <c r="S88" s="413" t="s">
        <v>878</v>
      </c>
    </row>
    <row r="89" spans="1:21" ht="15.75" customHeight="1">
      <c r="A89" s="420" t="s">
        <v>173</v>
      </c>
      <c r="B89" s="422" t="s">
        <v>1055</v>
      </c>
      <c r="C89" s="422" t="s">
        <v>1106</v>
      </c>
      <c r="D89" s="423" t="s">
        <v>844</v>
      </c>
      <c r="E89" s="423" t="str">
        <f>RIGHT(Таблица68[[#This Row],[Полное  наименование]],19)</f>
        <v>SVA 200 D STR PN 40</v>
      </c>
      <c r="F89" s="423" t="s">
        <v>257</v>
      </c>
      <c r="G89" s="423">
        <v>200</v>
      </c>
      <c r="H89" s="423">
        <v>40</v>
      </c>
      <c r="I89" s="423" t="s">
        <v>346</v>
      </c>
      <c r="J89" s="423" t="s">
        <v>924</v>
      </c>
      <c r="K89" s="424" t="s">
        <v>925</v>
      </c>
      <c r="L89" s="422" t="s">
        <v>1107</v>
      </c>
      <c r="M89" s="425">
        <v>912000</v>
      </c>
      <c r="N89" s="425">
        <f>M89*НДС!$A$1</f>
        <v>1057920</v>
      </c>
      <c r="O89" s="426" t="s">
        <v>70</v>
      </c>
      <c r="P89" s="422"/>
      <c r="Q89" s="429" t="s">
        <v>65</v>
      </c>
      <c r="R89" s="423">
        <f>IF(Таблица68[[#This Row],[Столбец2]]="A",1,IF(Таблица68[[#This Row],[Столбец2]]="B",2,IF(Таблица68[[#This Row],[Столбец2]]="C",3)))</f>
        <v>3</v>
      </c>
      <c r="S89" s="413" t="s">
        <v>878</v>
      </c>
    </row>
    <row r="90" spans="1:21" ht="18" customHeight="1">
      <c r="A90" s="420" t="s">
        <v>195</v>
      </c>
      <c r="B90" s="422" t="s">
        <v>1055</v>
      </c>
      <c r="C90" s="422" t="s">
        <v>1108</v>
      </c>
      <c r="D90" s="423" t="s">
        <v>844</v>
      </c>
      <c r="E90" s="423" t="str">
        <f>RIGHT(Таблица68[[#This Row],[Полное  наименование]],19)</f>
        <v>SVA 200 D ANG PN 40</v>
      </c>
      <c r="F90" s="423" t="s">
        <v>267</v>
      </c>
      <c r="G90" s="423">
        <v>200</v>
      </c>
      <c r="H90" s="423">
        <v>40</v>
      </c>
      <c r="I90" s="423" t="s">
        <v>346</v>
      </c>
      <c r="J90" s="423" t="s">
        <v>924</v>
      </c>
      <c r="K90" s="424" t="s">
        <v>925</v>
      </c>
      <c r="L90" s="422" t="s">
        <v>1109</v>
      </c>
      <c r="M90" s="425">
        <v>912000</v>
      </c>
      <c r="N90" s="425">
        <f>M90*НДС!$A$1</f>
        <v>1057920</v>
      </c>
      <c r="O90" s="426" t="s">
        <v>70</v>
      </c>
      <c r="P90" s="422"/>
      <c r="Q90" s="450" t="s">
        <v>61</v>
      </c>
      <c r="R90" s="423">
        <f>IF(Таблица68[[#This Row],[Столбец2]]="A",1,IF(Таблица68[[#This Row],[Столбец2]]="B",2,IF(Таблица68[[#This Row],[Столбец2]]="C",3)))</f>
        <v>2</v>
      </c>
      <c r="S90" s="413" t="s">
        <v>882</v>
      </c>
    </row>
    <row r="91" spans="1:21" ht="19.5" customHeight="1">
      <c r="A91" s="420" t="s">
        <v>196</v>
      </c>
      <c r="B91" s="422" t="s">
        <v>1055</v>
      </c>
      <c r="C91" s="422" t="s">
        <v>1110</v>
      </c>
      <c r="D91" s="423" t="s">
        <v>844</v>
      </c>
      <c r="E91" s="423" t="str">
        <f>RIGHT(Таблица68[[#This Row],[Полное  наименование]],19)</f>
        <v>SVA 250 D ANG PN 40</v>
      </c>
      <c r="F91" s="423" t="s">
        <v>267</v>
      </c>
      <c r="G91" s="423">
        <v>250</v>
      </c>
      <c r="H91" s="423">
        <v>40</v>
      </c>
      <c r="I91" s="423" t="s">
        <v>346</v>
      </c>
      <c r="J91" s="423" t="s">
        <v>924</v>
      </c>
      <c r="K91" s="424" t="s">
        <v>925</v>
      </c>
      <c r="L91" s="422" t="s">
        <v>1111</v>
      </c>
      <c r="M91" s="425">
        <v>1542000</v>
      </c>
      <c r="N91" s="425">
        <f>M91*НДС!$A$1</f>
        <v>1788719.9999999998</v>
      </c>
      <c r="O91" s="426" t="s">
        <v>910</v>
      </c>
      <c r="P91" s="422"/>
      <c r="Q91" s="450" t="s">
        <v>61</v>
      </c>
      <c r="R91" s="423">
        <f>IF(Таблица68[[#This Row],[Столбец2]]="A",1,IF(Таблица68[[#This Row],[Столбец2]]="B",2,IF(Таблица68[[#This Row],[Столбец2]]="C",3)))</f>
        <v>2</v>
      </c>
      <c r="S91" s="413" t="s">
        <v>882</v>
      </c>
    </row>
    <row r="92" spans="1:21" ht="15" customHeight="1">
      <c r="A92" s="420" t="s">
        <v>197</v>
      </c>
      <c r="B92" s="422" t="s">
        <v>1055</v>
      </c>
      <c r="C92" s="422" t="s">
        <v>1112</v>
      </c>
      <c r="D92" s="423" t="s">
        <v>844</v>
      </c>
      <c r="E92" s="423" t="str">
        <f>RIGHT(Таблица68[[#This Row],[Полное  наименование]],19)</f>
        <v>SVA 300 D ANG PN 40</v>
      </c>
      <c r="F92" s="423" t="s">
        <v>267</v>
      </c>
      <c r="G92" s="423">
        <v>300</v>
      </c>
      <c r="H92" s="423">
        <v>40</v>
      </c>
      <c r="I92" s="423" t="s">
        <v>346</v>
      </c>
      <c r="J92" s="423" t="s">
        <v>924</v>
      </c>
      <c r="K92" s="424" t="s">
        <v>925</v>
      </c>
      <c r="L92" s="422" t="s">
        <v>1113</v>
      </c>
      <c r="M92" s="425">
        <v>2430000</v>
      </c>
      <c r="N92" s="425">
        <f>M92*НДС!$A$1</f>
        <v>2818800</v>
      </c>
      <c r="O92" s="426" t="s">
        <v>910</v>
      </c>
      <c r="P92" s="422"/>
      <c r="Q92" s="429" t="s">
        <v>65</v>
      </c>
      <c r="R92" s="423">
        <f>IF(Таблица68[[#This Row],[Столбец2]]="A",1,IF(Таблица68[[#This Row],[Столбец2]]="B",2,IF(Таблица68[[#This Row],[Столбец2]]="C",3)))</f>
        <v>3</v>
      </c>
      <c r="S92" s="413" t="s">
        <v>878</v>
      </c>
    </row>
    <row r="93" spans="1:21" ht="15" customHeight="1">
      <c r="A93" s="420" t="s">
        <v>198</v>
      </c>
      <c r="B93" s="422" t="s">
        <v>1055</v>
      </c>
      <c r="C93" s="422" t="s">
        <v>1114</v>
      </c>
      <c r="D93" s="423" t="s">
        <v>844</v>
      </c>
      <c r="E93" s="423" t="str">
        <f>RIGHT(Таблица68[[#This Row],[Полное  наименование]],19)</f>
        <v>SVA 350 D ANG PN 40</v>
      </c>
      <c r="F93" s="423" t="s">
        <v>267</v>
      </c>
      <c r="G93" s="423">
        <v>350</v>
      </c>
      <c r="H93" s="423">
        <v>40</v>
      </c>
      <c r="I93" s="423" t="s">
        <v>346</v>
      </c>
      <c r="J93" s="423" t="s">
        <v>924</v>
      </c>
      <c r="K93" s="424" t="s">
        <v>925</v>
      </c>
      <c r="L93" s="422" t="s">
        <v>1115</v>
      </c>
      <c r="M93" s="425">
        <v>3900000</v>
      </c>
      <c r="N93" s="425">
        <f>M93*НДС!$A$1</f>
        <v>4524000</v>
      </c>
      <c r="O93" s="426" t="s">
        <v>910</v>
      </c>
      <c r="P93" s="422"/>
      <c r="Q93" s="429" t="s">
        <v>65</v>
      </c>
      <c r="R93" s="423">
        <f>IF(Таблица68[[#This Row],[Столбец2]]="A",1,IF(Таблица68[[#This Row],[Столбец2]]="B",2,IF(Таблица68[[#This Row],[Столбец2]]="C",3)))</f>
        <v>3</v>
      </c>
      <c r="S93" s="413" t="s">
        <v>878</v>
      </c>
    </row>
    <row r="94" spans="1:21" ht="15" customHeight="1">
      <c r="A94" s="420" t="s">
        <v>251</v>
      </c>
      <c r="B94" s="422" t="s">
        <v>1116</v>
      </c>
      <c r="C94" s="422" t="s">
        <v>1117</v>
      </c>
      <c r="D94" s="423" t="s">
        <v>1118</v>
      </c>
      <c r="E94" s="423" t="s">
        <v>1119</v>
      </c>
      <c r="F94" s="423" t="s">
        <v>267</v>
      </c>
      <c r="G94" s="423">
        <v>15</v>
      </c>
      <c r="H94" s="423">
        <v>40</v>
      </c>
      <c r="I94" s="423" t="s">
        <v>1120</v>
      </c>
      <c r="J94" s="423" t="s">
        <v>888</v>
      </c>
      <c r="K94" s="424" t="s">
        <v>1121</v>
      </c>
      <c r="L94" s="424" t="s">
        <v>1119</v>
      </c>
      <c r="M94" s="425">
        <v>174000</v>
      </c>
      <c r="N94" s="425">
        <f>M94*НДС!$A$1</f>
        <v>201840</v>
      </c>
      <c r="O94" s="426" t="s">
        <v>70</v>
      </c>
      <c r="P94" s="422"/>
      <c r="Q94" s="450" t="s">
        <v>61</v>
      </c>
      <c r="R94" s="423">
        <f>IF(Таблица68[[#This Row],[Столбец2]]="A",1,IF(Таблица68[[#This Row],[Столбец2]]="B",2,IF(Таблица68[[#This Row],[Столбец2]]="C",3)))</f>
        <v>2</v>
      </c>
      <c r="S94" s="413" t="s">
        <v>882</v>
      </c>
    </row>
    <row r="95" spans="1:21" ht="15" customHeight="1">
      <c r="A95" s="420" t="s">
        <v>252</v>
      </c>
      <c r="B95" s="422" t="s">
        <v>1116</v>
      </c>
      <c r="C95" s="422" t="s">
        <v>1122</v>
      </c>
      <c r="D95" s="423" t="s">
        <v>1118</v>
      </c>
      <c r="E95" s="423" t="s">
        <v>1123</v>
      </c>
      <c r="F95" s="423" t="s">
        <v>267</v>
      </c>
      <c r="G95" s="423">
        <v>20</v>
      </c>
      <c r="H95" s="423">
        <v>40</v>
      </c>
      <c r="I95" s="423" t="s">
        <v>1120</v>
      </c>
      <c r="J95" s="423" t="s">
        <v>888</v>
      </c>
      <c r="K95" s="424" t="s">
        <v>1124</v>
      </c>
      <c r="L95" s="424" t="s">
        <v>1123</v>
      </c>
      <c r="M95" s="425">
        <v>189000</v>
      </c>
      <c r="N95" s="425">
        <f>M95*НДС!$A$1</f>
        <v>219239.99999999997</v>
      </c>
      <c r="O95" s="426" t="s">
        <v>70</v>
      </c>
      <c r="P95" s="422"/>
      <c r="Q95" s="429" t="s">
        <v>65</v>
      </c>
      <c r="R95" s="423">
        <f>IF(Таблица68[[#This Row],[Столбец2]]="A",1,IF(Таблица68[[#This Row],[Столбец2]]="B",2,IF(Таблица68[[#This Row],[Столбец2]]="C",3)))</f>
        <v>3</v>
      </c>
      <c r="S95" s="413" t="s">
        <v>878</v>
      </c>
    </row>
    <row r="96" spans="1:21" ht="16.5">
      <c r="A96" s="420" t="s">
        <v>256</v>
      </c>
      <c r="B96" s="422" t="s">
        <v>1125</v>
      </c>
      <c r="C96" s="422" t="s">
        <v>1126</v>
      </c>
      <c r="D96" s="423" t="s">
        <v>1127</v>
      </c>
      <c r="E96" s="423" t="str">
        <f>RIGHT(Таблица68[[#This Row],[Полное  наименование]],12)</f>
        <v>REG 15 D STR</v>
      </c>
      <c r="F96" s="423" t="s">
        <v>257</v>
      </c>
      <c r="G96" s="423">
        <v>15</v>
      </c>
      <c r="H96" s="423">
        <v>52</v>
      </c>
      <c r="I96" s="423" t="s">
        <v>346</v>
      </c>
      <c r="J96" s="423" t="s">
        <v>924</v>
      </c>
      <c r="K96" s="424" t="s">
        <v>925</v>
      </c>
      <c r="L96" s="422" t="s">
        <v>1128</v>
      </c>
      <c r="M96" s="425">
        <v>33600</v>
      </c>
      <c r="N96" s="425">
        <f>M96*НДС!$A$1</f>
        <v>38976</v>
      </c>
      <c r="O96" s="426" t="s">
        <v>70</v>
      </c>
      <c r="P96" s="422"/>
      <c r="Q96" s="450" t="s">
        <v>61</v>
      </c>
      <c r="R96" s="423">
        <f>IF(Таблица68[[#This Row],[Столбец2]]="A",1,IF(Таблица68[[#This Row],[Столбец2]]="B",2,IF(Таблица68[[#This Row],[Столбец2]]="C",3)))</f>
        <v>2</v>
      </c>
      <c r="S96" s="413" t="s">
        <v>882</v>
      </c>
    </row>
    <row r="97" spans="1:19" ht="25">
      <c r="A97" s="420" t="s">
        <v>266</v>
      </c>
      <c r="B97" s="422" t="s">
        <v>1125</v>
      </c>
      <c r="C97" s="422" t="s">
        <v>1129</v>
      </c>
      <c r="D97" s="423" t="s">
        <v>1127</v>
      </c>
      <c r="E97" s="423" t="str">
        <f>RIGHT(Таблица68[[#This Row],[Полное  наименование]],12)</f>
        <v>REG 15 D ANG</v>
      </c>
      <c r="F97" s="423" t="s">
        <v>267</v>
      </c>
      <c r="G97" s="423">
        <v>15</v>
      </c>
      <c r="H97" s="423">
        <v>52</v>
      </c>
      <c r="I97" s="423" t="s">
        <v>346</v>
      </c>
      <c r="J97" s="423" t="s">
        <v>924</v>
      </c>
      <c r="K97" s="424" t="s">
        <v>925</v>
      </c>
      <c r="L97" s="422" t="s">
        <v>1130</v>
      </c>
      <c r="M97" s="425">
        <v>33600</v>
      </c>
      <c r="N97" s="425">
        <f>M97*НДС!$A$1</f>
        <v>38976</v>
      </c>
      <c r="O97" s="426" t="s">
        <v>70</v>
      </c>
      <c r="P97" s="422"/>
      <c r="Q97" s="427" t="s">
        <v>58</v>
      </c>
      <c r="R97" s="423">
        <f>IF(Таблица68[[#This Row],[Столбец2]]="A",1,IF(Таблица68[[#This Row],[Столбец2]]="B",2,IF(Таблица68[[#This Row],[Столбец2]]="C",3)))</f>
        <v>1</v>
      </c>
      <c r="S97" s="413" t="s">
        <v>875</v>
      </c>
    </row>
    <row r="98" spans="1:19" ht="16.5">
      <c r="A98" s="420" t="s">
        <v>258</v>
      </c>
      <c r="B98" s="422" t="s">
        <v>1125</v>
      </c>
      <c r="C98" s="422" t="s">
        <v>1131</v>
      </c>
      <c r="D98" s="423" t="s">
        <v>1127</v>
      </c>
      <c r="E98" s="423" t="str">
        <f>RIGHT(Таблица68[[#This Row],[Полное  наименование]],12)</f>
        <v>REG 20 D STR</v>
      </c>
      <c r="F98" s="423" t="s">
        <v>257</v>
      </c>
      <c r="G98" s="423">
        <v>20</v>
      </c>
      <c r="H98" s="423">
        <v>52</v>
      </c>
      <c r="I98" s="423" t="s">
        <v>346</v>
      </c>
      <c r="J98" s="423" t="s">
        <v>924</v>
      </c>
      <c r="K98" s="424" t="s">
        <v>925</v>
      </c>
      <c r="L98" s="422" t="s">
        <v>1132</v>
      </c>
      <c r="M98" s="425">
        <v>38400</v>
      </c>
      <c r="N98" s="425">
        <f>M98*НДС!$A$1</f>
        <v>44544</v>
      </c>
      <c r="O98" s="426" t="s">
        <v>70</v>
      </c>
      <c r="P98" s="422"/>
      <c r="Q98" s="450" t="s">
        <v>61</v>
      </c>
      <c r="R98" s="423">
        <f>IF(Таблица68[[#This Row],[Столбец2]]="A",1,IF(Таблица68[[#This Row],[Столбец2]]="B",2,IF(Таблица68[[#This Row],[Столбец2]]="C",3)))</f>
        <v>2</v>
      </c>
      <c r="S98" s="413" t="s">
        <v>882</v>
      </c>
    </row>
    <row r="99" spans="1:19" ht="16.5">
      <c r="A99" s="420" t="s">
        <v>268</v>
      </c>
      <c r="B99" s="422" t="s">
        <v>1125</v>
      </c>
      <c r="C99" s="422" t="s">
        <v>1133</v>
      </c>
      <c r="D99" s="423" t="s">
        <v>1127</v>
      </c>
      <c r="E99" s="423" t="str">
        <f>RIGHT(Таблица68[[#This Row],[Полное  наименование]],12)</f>
        <v>REG 20 D ANG</v>
      </c>
      <c r="F99" s="423" t="s">
        <v>267</v>
      </c>
      <c r="G99" s="423">
        <v>20</v>
      </c>
      <c r="H99" s="423">
        <v>52</v>
      </c>
      <c r="I99" s="423" t="s">
        <v>346</v>
      </c>
      <c r="J99" s="423" t="s">
        <v>924</v>
      </c>
      <c r="K99" s="424" t="s">
        <v>925</v>
      </c>
      <c r="L99" s="422" t="s">
        <v>1134</v>
      </c>
      <c r="M99" s="425">
        <v>38400</v>
      </c>
      <c r="N99" s="425">
        <f>M99*НДС!$A$1</f>
        <v>44544</v>
      </c>
      <c r="O99" s="426" t="s">
        <v>70</v>
      </c>
      <c r="P99" s="422"/>
      <c r="Q99" s="450" t="s">
        <v>61</v>
      </c>
      <c r="R99" s="423">
        <f>IF(Таблица68[[#This Row],[Столбец2]]="A",1,IF(Таблица68[[#This Row],[Столбец2]]="B",2,IF(Таблица68[[#This Row],[Столбец2]]="C",3)))</f>
        <v>2</v>
      </c>
      <c r="S99" s="413" t="s">
        <v>882</v>
      </c>
    </row>
    <row r="100" spans="1:19" ht="16.5">
      <c r="A100" s="420" t="s">
        <v>259</v>
      </c>
      <c r="B100" s="422" t="s">
        <v>1125</v>
      </c>
      <c r="C100" s="422" t="s">
        <v>1135</v>
      </c>
      <c r="D100" s="423" t="s">
        <v>1127</v>
      </c>
      <c r="E100" s="423" t="str">
        <f>RIGHT(Таблица68[[#This Row],[Полное  наименование]],12)</f>
        <v>REG 25 D STR</v>
      </c>
      <c r="F100" s="423" t="s">
        <v>257</v>
      </c>
      <c r="G100" s="423">
        <v>25</v>
      </c>
      <c r="H100" s="423">
        <v>52</v>
      </c>
      <c r="I100" s="423" t="s">
        <v>346</v>
      </c>
      <c r="J100" s="423" t="s">
        <v>924</v>
      </c>
      <c r="K100" s="424" t="s">
        <v>925</v>
      </c>
      <c r="L100" s="422" t="s">
        <v>1136</v>
      </c>
      <c r="M100" s="425">
        <v>43200</v>
      </c>
      <c r="N100" s="425">
        <f>M100*НДС!$A$1</f>
        <v>50112</v>
      </c>
      <c r="O100" s="426" t="s">
        <v>70</v>
      </c>
      <c r="P100" s="422"/>
      <c r="Q100" s="450" t="s">
        <v>61</v>
      </c>
      <c r="R100" s="423">
        <f>IF(Таблица68[[#This Row],[Столбец2]]="A",1,IF(Таблица68[[#This Row],[Столбец2]]="B",2,IF(Таблица68[[#This Row],[Столбец2]]="C",3)))</f>
        <v>2</v>
      </c>
      <c r="S100" s="413" t="s">
        <v>882</v>
      </c>
    </row>
    <row r="101" spans="1:19" ht="16.5">
      <c r="A101" s="420" t="s">
        <v>269</v>
      </c>
      <c r="B101" s="422" t="s">
        <v>1125</v>
      </c>
      <c r="C101" s="422" t="s">
        <v>1137</v>
      </c>
      <c r="D101" s="423" t="s">
        <v>1127</v>
      </c>
      <c r="E101" s="423" t="str">
        <f>RIGHT(Таблица68[[#This Row],[Полное  наименование]],12)</f>
        <v>REG 25 D ANG</v>
      </c>
      <c r="F101" s="423" t="s">
        <v>267</v>
      </c>
      <c r="G101" s="423">
        <v>25</v>
      </c>
      <c r="H101" s="423">
        <v>52</v>
      </c>
      <c r="I101" s="423" t="s">
        <v>346</v>
      </c>
      <c r="J101" s="423" t="s">
        <v>924</v>
      </c>
      <c r="K101" s="424" t="s">
        <v>925</v>
      </c>
      <c r="L101" s="422" t="s">
        <v>1138</v>
      </c>
      <c r="M101" s="425">
        <v>43200</v>
      </c>
      <c r="N101" s="425">
        <f>M101*НДС!$A$1</f>
        <v>50112</v>
      </c>
      <c r="O101" s="426" t="s">
        <v>70</v>
      </c>
      <c r="P101" s="422"/>
      <c r="Q101" s="450" t="s">
        <v>61</v>
      </c>
      <c r="R101" s="423">
        <f>IF(Таблица68[[#This Row],[Столбец2]]="A",1,IF(Таблица68[[#This Row],[Столбец2]]="B",2,IF(Таблица68[[#This Row],[Столбец2]]="C",3)))</f>
        <v>2</v>
      </c>
      <c r="S101" s="413" t="s">
        <v>882</v>
      </c>
    </row>
    <row r="102" spans="1:19" ht="36" customHeight="1">
      <c r="A102" s="420" t="s">
        <v>260</v>
      </c>
      <c r="B102" s="422" t="s">
        <v>1125</v>
      </c>
      <c r="C102" s="422" t="s">
        <v>1139</v>
      </c>
      <c r="D102" s="423" t="s">
        <v>1127</v>
      </c>
      <c r="E102" s="423" t="str">
        <f>RIGHT(Таблица68[[#This Row],[Полное  наименование]],12)</f>
        <v>REG 32 D STR</v>
      </c>
      <c r="F102" s="423" t="s">
        <v>257</v>
      </c>
      <c r="G102" s="423">
        <v>32</v>
      </c>
      <c r="H102" s="423">
        <v>52</v>
      </c>
      <c r="I102" s="423" t="s">
        <v>346</v>
      </c>
      <c r="J102" s="423" t="s">
        <v>924</v>
      </c>
      <c r="K102" s="424" t="s">
        <v>925</v>
      </c>
      <c r="L102" s="422" t="s">
        <v>1140</v>
      </c>
      <c r="M102" s="425">
        <v>57000</v>
      </c>
      <c r="N102" s="425">
        <f>M102*НДС!$A$1</f>
        <v>66120</v>
      </c>
      <c r="O102" s="426" t="s">
        <v>70</v>
      </c>
      <c r="P102" s="422"/>
      <c r="Q102" s="450" t="s">
        <v>61</v>
      </c>
      <c r="R102" s="423">
        <f>IF(Таблица68[[#This Row],[Столбец2]]="A",1,IF(Таблица68[[#This Row],[Столбец2]]="B",2,IF(Таблица68[[#This Row],[Столбец2]]="C",3)))</f>
        <v>2</v>
      </c>
      <c r="S102" s="413" t="s">
        <v>882</v>
      </c>
    </row>
    <row r="103" spans="1:19" ht="30.75" customHeight="1">
      <c r="A103" s="420" t="s">
        <v>270</v>
      </c>
      <c r="B103" s="422" t="s">
        <v>1125</v>
      </c>
      <c r="C103" s="422" t="s">
        <v>1141</v>
      </c>
      <c r="D103" s="423" t="s">
        <v>1127</v>
      </c>
      <c r="E103" s="423" t="str">
        <f>RIGHT(Таблица68[[#This Row],[Полное  наименование]],12)</f>
        <v>REG 32 D ANG</v>
      </c>
      <c r="F103" s="423" t="s">
        <v>267</v>
      </c>
      <c r="G103" s="423">
        <v>32</v>
      </c>
      <c r="H103" s="423">
        <v>52</v>
      </c>
      <c r="I103" s="423" t="s">
        <v>346</v>
      </c>
      <c r="J103" s="423" t="s">
        <v>924</v>
      </c>
      <c r="K103" s="424" t="s">
        <v>925</v>
      </c>
      <c r="L103" s="422" t="s">
        <v>1142</v>
      </c>
      <c r="M103" s="425">
        <v>57000</v>
      </c>
      <c r="N103" s="425">
        <f>M103*НДС!$A$1</f>
        <v>66120</v>
      </c>
      <c r="O103" s="426" t="s">
        <v>70</v>
      </c>
      <c r="P103" s="422"/>
      <c r="Q103" s="429" t="s">
        <v>65</v>
      </c>
      <c r="R103" s="423">
        <f>IF(Таблица68[[#This Row],[Столбец2]]="A",1,IF(Таблица68[[#This Row],[Столбец2]]="B",2,IF(Таблица68[[#This Row],[Столбец2]]="C",3)))</f>
        <v>3</v>
      </c>
      <c r="S103" s="413" t="s">
        <v>878</v>
      </c>
    </row>
    <row r="104" spans="1:19" ht="25">
      <c r="A104" s="420" t="s">
        <v>261</v>
      </c>
      <c r="B104" s="422" t="s">
        <v>1125</v>
      </c>
      <c r="C104" s="422" t="s">
        <v>1143</v>
      </c>
      <c r="D104" s="423" t="s">
        <v>1127</v>
      </c>
      <c r="E104" s="423" t="str">
        <f>RIGHT(Таблица68[[#This Row],[Полное  наименование]],12)</f>
        <v>REG 40 D STR</v>
      </c>
      <c r="F104" s="423" t="s">
        <v>257</v>
      </c>
      <c r="G104" s="423">
        <v>40</v>
      </c>
      <c r="H104" s="423">
        <v>52</v>
      </c>
      <c r="I104" s="423" t="s">
        <v>346</v>
      </c>
      <c r="J104" s="423" t="s">
        <v>924</v>
      </c>
      <c r="K104" s="424" t="s">
        <v>925</v>
      </c>
      <c r="L104" s="422" t="s">
        <v>1144</v>
      </c>
      <c r="M104" s="425">
        <v>75000</v>
      </c>
      <c r="N104" s="425">
        <f>M104*НДС!$A$1</f>
        <v>87000</v>
      </c>
      <c r="O104" s="426" t="s">
        <v>70</v>
      </c>
      <c r="P104" s="422"/>
      <c r="Q104" s="429" t="s">
        <v>65</v>
      </c>
      <c r="R104" s="423">
        <f>IF(Таблица68[[#This Row],[Столбец2]]="A",1,IF(Таблица68[[#This Row],[Столбец2]]="B",2,IF(Таблица68[[#This Row],[Столбец2]]="C",3)))</f>
        <v>3</v>
      </c>
      <c r="S104" s="413" t="s">
        <v>878</v>
      </c>
    </row>
    <row r="105" spans="1:19" ht="16.5">
      <c r="A105" s="420" t="s">
        <v>271</v>
      </c>
      <c r="B105" s="422" t="s">
        <v>1125</v>
      </c>
      <c r="C105" s="422" t="s">
        <v>1145</v>
      </c>
      <c r="D105" s="423" t="s">
        <v>1127</v>
      </c>
      <c r="E105" s="423" t="str">
        <f>RIGHT(Таблица68[[#This Row],[Полное  наименование]],12)</f>
        <v>REG 40 D ANG</v>
      </c>
      <c r="F105" s="423" t="s">
        <v>267</v>
      </c>
      <c r="G105" s="423">
        <v>40</v>
      </c>
      <c r="H105" s="423">
        <v>52</v>
      </c>
      <c r="I105" s="423" t="s">
        <v>346</v>
      </c>
      <c r="J105" s="423" t="s">
        <v>924</v>
      </c>
      <c r="K105" s="424" t="s">
        <v>925</v>
      </c>
      <c r="L105" s="422" t="s">
        <v>1146</v>
      </c>
      <c r="M105" s="425">
        <v>75000</v>
      </c>
      <c r="N105" s="425">
        <f>M105*НДС!$A$1</f>
        <v>87000</v>
      </c>
      <c r="O105" s="426" t="s">
        <v>70</v>
      </c>
      <c r="P105" s="422"/>
      <c r="Q105" s="450" t="s">
        <v>61</v>
      </c>
      <c r="R105" s="423">
        <f>IF(Таблица68[[#This Row],[Столбец2]]="A",1,IF(Таблица68[[#This Row],[Столбец2]]="B",2,IF(Таблица68[[#This Row],[Столбец2]]="C",3)))</f>
        <v>2</v>
      </c>
      <c r="S105" s="413" t="s">
        <v>882</v>
      </c>
    </row>
    <row r="106" spans="1:19" ht="33.75" customHeight="1">
      <c r="A106" s="420" t="s">
        <v>262</v>
      </c>
      <c r="B106" s="422" t="s">
        <v>1125</v>
      </c>
      <c r="C106" s="422" t="s">
        <v>1147</v>
      </c>
      <c r="D106" s="423" t="s">
        <v>1127</v>
      </c>
      <c r="E106" s="423" t="str">
        <f>RIGHT(Таблица68[[#This Row],[Полное  наименование]],12)</f>
        <v>REG 50 D STR</v>
      </c>
      <c r="F106" s="423" t="s">
        <v>257</v>
      </c>
      <c r="G106" s="423">
        <v>50</v>
      </c>
      <c r="H106" s="423">
        <v>52</v>
      </c>
      <c r="I106" s="423" t="s">
        <v>346</v>
      </c>
      <c r="J106" s="423" t="s">
        <v>924</v>
      </c>
      <c r="K106" s="424" t="s">
        <v>925</v>
      </c>
      <c r="L106" s="422" t="s">
        <v>1148</v>
      </c>
      <c r="M106" s="425">
        <v>91200</v>
      </c>
      <c r="N106" s="425">
        <f>M106*НДС!$A$1</f>
        <v>105791.99999999999</v>
      </c>
      <c r="O106" s="426" t="s">
        <v>70</v>
      </c>
      <c r="P106" s="422"/>
      <c r="Q106" s="429" t="s">
        <v>65</v>
      </c>
      <c r="R106" s="423">
        <f>IF(Таблица68[[#This Row],[Столбец2]]="A",1,IF(Таблица68[[#This Row],[Столбец2]]="B",2,IF(Таблица68[[#This Row],[Столбец2]]="C",3)))</f>
        <v>3</v>
      </c>
      <c r="S106" s="413" t="s">
        <v>878</v>
      </c>
    </row>
    <row r="107" spans="1:19" ht="25">
      <c r="A107" s="420" t="s">
        <v>272</v>
      </c>
      <c r="B107" s="422" t="s">
        <v>1125</v>
      </c>
      <c r="C107" s="422" t="s">
        <v>1149</v>
      </c>
      <c r="D107" s="423" t="s">
        <v>1127</v>
      </c>
      <c r="E107" s="423" t="str">
        <f>RIGHT(Таблица68[[#This Row],[Полное  наименование]],12)</f>
        <v>REG 50 D ANG</v>
      </c>
      <c r="F107" s="423" t="s">
        <v>267</v>
      </c>
      <c r="G107" s="423">
        <v>50</v>
      </c>
      <c r="H107" s="423">
        <v>52</v>
      </c>
      <c r="I107" s="423" t="s">
        <v>346</v>
      </c>
      <c r="J107" s="423" t="s">
        <v>924</v>
      </c>
      <c r="K107" s="424" t="s">
        <v>925</v>
      </c>
      <c r="L107" s="422" t="s">
        <v>1150</v>
      </c>
      <c r="M107" s="425">
        <v>91200</v>
      </c>
      <c r="N107" s="425">
        <f>M107*НДС!$A$1</f>
        <v>105791.99999999999</v>
      </c>
      <c r="O107" s="426" t="s">
        <v>70</v>
      </c>
      <c r="P107" s="422"/>
      <c r="Q107" s="429" t="s">
        <v>65</v>
      </c>
      <c r="R107" s="423">
        <f>IF(Таблица68[[#This Row],[Столбец2]]="A",1,IF(Таблица68[[#This Row],[Столбец2]]="B",2,IF(Таблица68[[#This Row],[Столбец2]]="C",3)))</f>
        <v>3</v>
      </c>
      <c r="S107" s="413" t="s">
        <v>878</v>
      </c>
    </row>
    <row r="108" spans="1:19" ht="40.5" customHeight="1">
      <c r="A108" s="420" t="s">
        <v>263</v>
      </c>
      <c r="B108" s="422" t="s">
        <v>1125</v>
      </c>
      <c r="C108" s="422" t="s">
        <v>1151</v>
      </c>
      <c r="D108" s="423" t="s">
        <v>1127</v>
      </c>
      <c r="E108" s="423" t="str">
        <f>RIGHT(Таблица68[[#This Row],[Полное  наименование]],12)</f>
        <v>REG 65 D STR</v>
      </c>
      <c r="F108" s="423" t="s">
        <v>257</v>
      </c>
      <c r="G108" s="423">
        <v>65</v>
      </c>
      <c r="H108" s="423">
        <v>52</v>
      </c>
      <c r="I108" s="423" t="s">
        <v>346</v>
      </c>
      <c r="J108" s="423" t="s">
        <v>924</v>
      </c>
      <c r="K108" s="424" t="s">
        <v>925</v>
      </c>
      <c r="L108" s="422" t="s">
        <v>1152</v>
      </c>
      <c r="M108" s="425">
        <v>129000</v>
      </c>
      <c r="N108" s="425">
        <f>M108*НДС!$A$1</f>
        <v>149640</v>
      </c>
      <c r="O108" s="426" t="s">
        <v>70</v>
      </c>
      <c r="P108" s="422"/>
      <c r="Q108" s="429" t="s">
        <v>65</v>
      </c>
      <c r="R108" s="423">
        <f>IF(Таблица68[[#This Row],[Столбец2]]="A",1,IF(Таблица68[[#This Row],[Столбец2]]="B",2,IF(Таблица68[[#This Row],[Столбец2]]="C",3)))</f>
        <v>3</v>
      </c>
      <c r="S108" s="413" t="s">
        <v>878</v>
      </c>
    </row>
    <row r="109" spans="1:19" ht="36" customHeight="1">
      <c r="A109" s="420" t="s">
        <v>273</v>
      </c>
      <c r="B109" s="422" t="s">
        <v>1125</v>
      </c>
      <c r="C109" s="422" t="s">
        <v>1153</v>
      </c>
      <c r="D109" s="423" t="s">
        <v>1127</v>
      </c>
      <c r="E109" s="423" t="str">
        <f>RIGHT(Таблица68[[#This Row],[Полное  наименование]],12)</f>
        <v>REG 65 D ANG</v>
      </c>
      <c r="F109" s="423" t="s">
        <v>267</v>
      </c>
      <c r="G109" s="423">
        <v>65</v>
      </c>
      <c r="H109" s="423">
        <v>52</v>
      </c>
      <c r="I109" s="423" t="s">
        <v>346</v>
      </c>
      <c r="J109" s="423" t="s">
        <v>924</v>
      </c>
      <c r="K109" s="424" t="s">
        <v>925</v>
      </c>
      <c r="L109" s="422" t="s">
        <v>1154</v>
      </c>
      <c r="M109" s="425">
        <v>129000</v>
      </c>
      <c r="N109" s="425">
        <f>M109*НДС!$A$1</f>
        <v>149640</v>
      </c>
      <c r="O109" s="426" t="s">
        <v>70</v>
      </c>
      <c r="P109" s="422"/>
      <c r="Q109" s="429" t="s">
        <v>65</v>
      </c>
      <c r="R109" s="423">
        <f>IF(Таблица68[[#This Row],[Столбец2]]="A",1,IF(Таблица68[[#This Row],[Столбец2]]="B",2,IF(Таблица68[[#This Row],[Столбец2]]="C",3)))</f>
        <v>3</v>
      </c>
      <c r="S109" s="413" t="s">
        <v>878</v>
      </c>
    </row>
    <row r="110" spans="1:19" ht="25">
      <c r="A110" s="420" t="s">
        <v>264</v>
      </c>
      <c r="B110" s="422" t="s">
        <v>1125</v>
      </c>
      <c r="C110" s="422" t="s">
        <v>1155</v>
      </c>
      <c r="D110" s="423" t="s">
        <v>1127</v>
      </c>
      <c r="E110" s="423" t="str">
        <f>RIGHT(Таблица68[[#This Row],[Полное  наименование]],12)</f>
        <v>REG 80 D STR</v>
      </c>
      <c r="F110" s="423" t="s">
        <v>257</v>
      </c>
      <c r="G110" s="423">
        <v>80</v>
      </c>
      <c r="H110" s="423">
        <v>52</v>
      </c>
      <c r="I110" s="423" t="s">
        <v>346</v>
      </c>
      <c r="J110" s="423" t="s">
        <v>924</v>
      </c>
      <c r="K110" s="424" t="s">
        <v>925</v>
      </c>
      <c r="L110" s="422" t="s">
        <v>1156</v>
      </c>
      <c r="M110" s="425">
        <v>150000</v>
      </c>
      <c r="N110" s="425">
        <f>M110*НДС!$A$1</f>
        <v>174000</v>
      </c>
      <c r="O110" s="426" t="s">
        <v>70</v>
      </c>
      <c r="P110" s="422"/>
      <c r="Q110" s="429" t="s">
        <v>65</v>
      </c>
      <c r="R110" s="423">
        <f>IF(Таблица68[[#This Row],[Столбец2]]="A",1,IF(Таблица68[[#This Row],[Столбец2]]="B",2,IF(Таблица68[[#This Row],[Столбец2]]="C",3)))</f>
        <v>3</v>
      </c>
      <c r="S110" s="413" t="s">
        <v>878</v>
      </c>
    </row>
    <row r="111" spans="1:19" ht="25">
      <c r="A111" s="420" t="s">
        <v>274</v>
      </c>
      <c r="B111" s="422" t="s">
        <v>1125</v>
      </c>
      <c r="C111" s="422" t="s">
        <v>1157</v>
      </c>
      <c r="D111" s="423" t="s">
        <v>1127</v>
      </c>
      <c r="E111" s="423" t="str">
        <f>RIGHT(Таблица68[[#This Row],[Полное  наименование]],12)</f>
        <v>REG 80 D ANG</v>
      </c>
      <c r="F111" s="423" t="s">
        <v>267</v>
      </c>
      <c r="G111" s="423">
        <v>80</v>
      </c>
      <c r="H111" s="423">
        <v>52</v>
      </c>
      <c r="I111" s="423" t="s">
        <v>346</v>
      </c>
      <c r="J111" s="423" t="s">
        <v>924</v>
      </c>
      <c r="K111" s="424" t="s">
        <v>925</v>
      </c>
      <c r="L111" s="422" t="s">
        <v>1158</v>
      </c>
      <c r="M111" s="425">
        <v>150000</v>
      </c>
      <c r="N111" s="425">
        <f>M111*НДС!$A$1</f>
        <v>174000</v>
      </c>
      <c r="O111" s="426" t="s">
        <v>70</v>
      </c>
      <c r="P111" s="422"/>
      <c r="Q111" s="429" t="s">
        <v>65</v>
      </c>
      <c r="R111" s="423">
        <f>IF(Таблица68[[#This Row],[Столбец2]]="A",1,IF(Таблица68[[#This Row],[Столбец2]]="B",2,IF(Таблица68[[#This Row],[Столбец2]]="C",3)))</f>
        <v>3</v>
      </c>
      <c r="S111" s="413" t="s">
        <v>878</v>
      </c>
    </row>
    <row r="112" spans="1:19" ht="16.5">
      <c r="A112" s="420" t="s">
        <v>278</v>
      </c>
      <c r="B112" s="422" t="s">
        <v>1159</v>
      </c>
      <c r="C112" s="422" t="s">
        <v>1160</v>
      </c>
      <c r="D112" s="423" t="s">
        <v>1161</v>
      </c>
      <c r="E112" s="423" t="str">
        <f>RIGHT(Таблица68[[#This Row],[Полное  наименование]],18)</f>
        <v>CHV 15 D STR PN 52</v>
      </c>
      <c r="F112" s="423" t="s">
        <v>257</v>
      </c>
      <c r="G112" s="423">
        <v>15</v>
      </c>
      <c r="H112" s="423">
        <v>52</v>
      </c>
      <c r="I112" s="423" t="s">
        <v>346</v>
      </c>
      <c r="J112" s="423" t="s">
        <v>924</v>
      </c>
      <c r="K112" s="424" t="s">
        <v>925</v>
      </c>
      <c r="L112" s="422" t="s">
        <v>1162</v>
      </c>
      <c r="M112" s="425">
        <v>36000</v>
      </c>
      <c r="N112" s="425">
        <f>M112*НДС!$A$1</f>
        <v>41760</v>
      </c>
      <c r="O112" s="426" t="s">
        <v>70</v>
      </c>
      <c r="P112" s="422"/>
      <c r="Q112" s="450" t="s">
        <v>61</v>
      </c>
      <c r="R112" s="423">
        <f>IF(Таблица68[[#This Row],[Столбец2]]="A",1,IF(Таблица68[[#This Row],[Столбец2]]="B",2,IF(Таблица68[[#This Row],[Столбец2]]="C",3)))</f>
        <v>2</v>
      </c>
      <c r="S112" s="413" t="s">
        <v>882</v>
      </c>
    </row>
    <row r="113" spans="1:21" ht="25">
      <c r="A113" s="420" t="s">
        <v>299</v>
      </c>
      <c r="B113" s="422" t="s">
        <v>1159</v>
      </c>
      <c r="C113" s="422" t="s">
        <v>1163</v>
      </c>
      <c r="D113" s="423" t="s">
        <v>1161</v>
      </c>
      <c r="E113" s="423" t="str">
        <f>RIGHT(Таблица68[[#This Row],[Полное  наименование]],18)</f>
        <v>CHV 15 D ANG PN 52</v>
      </c>
      <c r="F113" s="423" t="s">
        <v>267</v>
      </c>
      <c r="G113" s="423">
        <v>15</v>
      </c>
      <c r="H113" s="423">
        <v>52</v>
      </c>
      <c r="I113" s="423" t="s">
        <v>346</v>
      </c>
      <c r="J113" s="423" t="s">
        <v>924</v>
      </c>
      <c r="K113" s="424" t="s">
        <v>925</v>
      </c>
      <c r="L113" s="422" t="s">
        <v>1164</v>
      </c>
      <c r="M113" s="425">
        <v>36000</v>
      </c>
      <c r="N113" s="425">
        <f>M113*НДС!$A$1</f>
        <v>41760</v>
      </c>
      <c r="O113" s="426" t="s">
        <v>70</v>
      </c>
      <c r="P113" s="422"/>
      <c r="Q113" s="429" t="s">
        <v>65</v>
      </c>
      <c r="R113" s="423">
        <f>IF(Таблица68[[#This Row],[Столбец2]]="A",1,IF(Таблица68[[#This Row],[Столбец2]]="B",2,IF(Таблица68[[#This Row],[Столбец2]]="C",3)))</f>
        <v>3</v>
      </c>
      <c r="S113" s="413" t="s">
        <v>878</v>
      </c>
    </row>
    <row r="114" spans="1:21" ht="16.5">
      <c r="A114" s="420" t="s">
        <v>279</v>
      </c>
      <c r="B114" s="422" t="s">
        <v>1159</v>
      </c>
      <c r="C114" s="422" t="s">
        <v>1165</v>
      </c>
      <c r="D114" s="423" t="s">
        <v>1161</v>
      </c>
      <c r="E114" s="423" t="str">
        <f>RIGHT(Таблица68[[#This Row],[Полное  наименование]],18)</f>
        <v>CHV 20 D STR PN 52</v>
      </c>
      <c r="F114" s="423" t="s">
        <v>257</v>
      </c>
      <c r="G114" s="423">
        <v>20</v>
      </c>
      <c r="H114" s="423">
        <v>52</v>
      </c>
      <c r="I114" s="423" t="s">
        <v>346</v>
      </c>
      <c r="J114" s="423" t="s">
        <v>924</v>
      </c>
      <c r="K114" s="424" t="s">
        <v>925</v>
      </c>
      <c r="L114" s="422" t="s">
        <v>1166</v>
      </c>
      <c r="M114" s="425">
        <v>38400</v>
      </c>
      <c r="N114" s="425">
        <f>M114*НДС!$A$1</f>
        <v>44544</v>
      </c>
      <c r="O114" s="426" t="s">
        <v>70</v>
      </c>
      <c r="P114" s="422"/>
      <c r="Q114" s="450" t="s">
        <v>61</v>
      </c>
      <c r="R114" s="423">
        <f>IF(Таблица68[[#This Row],[Столбец2]]="A",1,IF(Таблица68[[#This Row],[Столбец2]]="B",2,IF(Таблица68[[#This Row],[Столбец2]]="C",3)))</f>
        <v>2</v>
      </c>
      <c r="S114" s="413" t="s">
        <v>882</v>
      </c>
    </row>
    <row r="115" spans="1:21" ht="25">
      <c r="A115" s="420" t="s">
        <v>300</v>
      </c>
      <c r="B115" s="422" t="s">
        <v>1159</v>
      </c>
      <c r="C115" s="422" t="s">
        <v>1167</v>
      </c>
      <c r="D115" s="423" t="s">
        <v>1161</v>
      </c>
      <c r="E115" s="423" t="str">
        <f>RIGHT(Таблица68[[#This Row],[Полное  наименование]],18)</f>
        <v>CHV 20 D ANG PN 52</v>
      </c>
      <c r="F115" s="423" t="s">
        <v>267</v>
      </c>
      <c r="G115" s="423">
        <v>20</v>
      </c>
      <c r="H115" s="423">
        <v>52</v>
      </c>
      <c r="I115" s="423" t="s">
        <v>346</v>
      </c>
      <c r="J115" s="423" t="s">
        <v>924</v>
      </c>
      <c r="K115" s="424" t="s">
        <v>925</v>
      </c>
      <c r="L115" s="422" t="s">
        <v>1168</v>
      </c>
      <c r="M115" s="425">
        <v>38400</v>
      </c>
      <c r="N115" s="425">
        <f>M115*НДС!$A$1</f>
        <v>44544</v>
      </c>
      <c r="O115" s="426" t="s">
        <v>70</v>
      </c>
      <c r="P115" s="422"/>
      <c r="Q115" s="429" t="s">
        <v>65</v>
      </c>
      <c r="R115" s="423">
        <f>IF(Таблица68[[#This Row],[Столбец2]]="A",1,IF(Таблица68[[#This Row],[Столбец2]]="B",2,IF(Таблица68[[#This Row],[Столбец2]]="C",3)))</f>
        <v>3</v>
      </c>
      <c r="S115" s="413" t="s">
        <v>878</v>
      </c>
    </row>
    <row r="116" spans="1:21" ht="16.5">
      <c r="A116" s="420" t="s">
        <v>280</v>
      </c>
      <c r="B116" s="422" t="s">
        <v>1159</v>
      </c>
      <c r="C116" s="422" t="s">
        <v>1169</v>
      </c>
      <c r="D116" s="423" t="s">
        <v>1161</v>
      </c>
      <c r="E116" s="423" t="str">
        <f>RIGHT(Таблица68[[#This Row],[Полное  наименование]],18)</f>
        <v>CHV 25 D STR PN 52</v>
      </c>
      <c r="F116" s="423" t="s">
        <v>257</v>
      </c>
      <c r="G116" s="423">
        <v>25</v>
      </c>
      <c r="H116" s="423">
        <v>52</v>
      </c>
      <c r="I116" s="423" t="s">
        <v>346</v>
      </c>
      <c r="J116" s="423" t="s">
        <v>924</v>
      </c>
      <c r="K116" s="424" t="s">
        <v>925</v>
      </c>
      <c r="L116" s="422" t="s">
        <v>1170</v>
      </c>
      <c r="M116" s="425">
        <v>48000</v>
      </c>
      <c r="N116" s="425">
        <f>M116*НДС!$A$1</f>
        <v>55679.999999999993</v>
      </c>
      <c r="O116" s="426" t="s">
        <v>70</v>
      </c>
      <c r="P116" s="422"/>
      <c r="Q116" s="450" t="s">
        <v>61</v>
      </c>
      <c r="R116" s="423">
        <f>IF(Таблица68[[#This Row],[Столбец2]]="A",1,IF(Таблица68[[#This Row],[Столбец2]]="B",2,IF(Таблица68[[#This Row],[Столбец2]]="C",3)))</f>
        <v>2</v>
      </c>
      <c r="S116" s="413" t="s">
        <v>882</v>
      </c>
    </row>
    <row r="117" spans="1:21" ht="16.5">
      <c r="A117" s="420" t="s">
        <v>301</v>
      </c>
      <c r="B117" s="422" t="s">
        <v>1159</v>
      </c>
      <c r="C117" s="422" t="s">
        <v>1171</v>
      </c>
      <c r="D117" s="423" t="s">
        <v>1161</v>
      </c>
      <c r="E117" s="423" t="str">
        <f>RIGHT(Таблица68[[#This Row],[Полное  наименование]],18)</f>
        <v>CHV 25 D ANG PN 52</v>
      </c>
      <c r="F117" s="423" t="s">
        <v>267</v>
      </c>
      <c r="G117" s="423">
        <v>25</v>
      </c>
      <c r="H117" s="423">
        <v>52</v>
      </c>
      <c r="I117" s="423" t="s">
        <v>346</v>
      </c>
      <c r="J117" s="423" t="s">
        <v>924</v>
      </c>
      <c r="K117" s="424" t="s">
        <v>925</v>
      </c>
      <c r="L117" s="422" t="s">
        <v>1172</v>
      </c>
      <c r="M117" s="425">
        <v>48000</v>
      </c>
      <c r="N117" s="425">
        <f>M117*НДС!$A$1</f>
        <v>55679.999999999993</v>
      </c>
      <c r="O117" s="426" t="s">
        <v>70</v>
      </c>
      <c r="P117" s="422"/>
      <c r="Q117" s="450" t="s">
        <v>61</v>
      </c>
      <c r="R117" s="423">
        <f>IF(Таблица68[[#This Row],[Столбец2]]="A",1,IF(Таблица68[[#This Row],[Столбец2]]="B",2,IF(Таблица68[[#This Row],[Столбец2]]="C",3)))</f>
        <v>2</v>
      </c>
      <c r="S117" s="413" t="s">
        <v>882</v>
      </c>
    </row>
    <row r="118" spans="1:21" ht="25">
      <c r="A118" s="420" t="s">
        <v>281</v>
      </c>
      <c r="B118" s="422" t="s">
        <v>1159</v>
      </c>
      <c r="C118" s="422" t="s">
        <v>1173</v>
      </c>
      <c r="D118" s="423" t="s">
        <v>1161</v>
      </c>
      <c r="E118" s="423" t="str">
        <f>RIGHT(Таблица68[[#This Row],[Полное  наименование]],18)</f>
        <v>CHV 32 D STR PN 52</v>
      </c>
      <c r="F118" s="423" t="s">
        <v>257</v>
      </c>
      <c r="G118" s="423">
        <v>32</v>
      </c>
      <c r="H118" s="423">
        <v>52</v>
      </c>
      <c r="I118" s="423" t="s">
        <v>346</v>
      </c>
      <c r="J118" s="423" t="s">
        <v>924</v>
      </c>
      <c r="K118" s="424" t="s">
        <v>925</v>
      </c>
      <c r="L118" s="422" t="s">
        <v>1174</v>
      </c>
      <c r="M118" s="425">
        <v>58800</v>
      </c>
      <c r="N118" s="425">
        <f>M118*НДС!$A$1</f>
        <v>68208</v>
      </c>
      <c r="O118" s="426" t="s">
        <v>70</v>
      </c>
      <c r="P118" s="422"/>
      <c r="Q118" s="429" t="s">
        <v>65</v>
      </c>
      <c r="R118" s="423">
        <f>IF(Таблица68[[#This Row],[Столбец2]]="A",1,IF(Таблица68[[#This Row],[Столбец2]]="B",2,IF(Таблица68[[#This Row],[Столбец2]]="C",3)))</f>
        <v>3</v>
      </c>
      <c r="S118" s="413" t="s">
        <v>878</v>
      </c>
    </row>
    <row r="119" spans="1:21" ht="25">
      <c r="A119" s="420" t="s">
        <v>302</v>
      </c>
      <c r="B119" s="422" t="s">
        <v>1159</v>
      </c>
      <c r="C119" s="422" t="s">
        <v>1175</v>
      </c>
      <c r="D119" s="423" t="s">
        <v>1161</v>
      </c>
      <c r="E119" s="423" t="str">
        <f>RIGHT(Таблица68[[#This Row],[Полное  наименование]],18)</f>
        <v>CHV 32 D ANG PN 52</v>
      </c>
      <c r="F119" s="423" t="s">
        <v>267</v>
      </c>
      <c r="G119" s="423">
        <v>32</v>
      </c>
      <c r="H119" s="423">
        <v>52</v>
      </c>
      <c r="I119" s="423" t="s">
        <v>346</v>
      </c>
      <c r="J119" s="423" t="s">
        <v>924</v>
      </c>
      <c r="K119" s="424" t="s">
        <v>925</v>
      </c>
      <c r="L119" s="422" t="s">
        <v>1176</v>
      </c>
      <c r="M119" s="425">
        <v>58800</v>
      </c>
      <c r="N119" s="425">
        <f>M119*НДС!$A$1</f>
        <v>68208</v>
      </c>
      <c r="O119" s="426" t="s">
        <v>70</v>
      </c>
      <c r="P119" s="422"/>
      <c r="Q119" s="429" t="s">
        <v>65</v>
      </c>
      <c r="R119" s="423">
        <f>IF(Таблица68[[#This Row],[Столбец2]]="A",1,IF(Таблица68[[#This Row],[Столбец2]]="B",2,IF(Таблица68[[#This Row],[Столбец2]]="C",3)))</f>
        <v>3</v>
      </c>
      <c r="S119" s="413" t="s">
        <v>878</v>
      </c>
    </row>
    <row r="120" spans="1:21" ht="25">
      <c r="A120" s="420" t="s">
        <v>282</v>
      </c>
      <c r="B120" s="422" t="s">
        <v>1159</v>
      </c>
      <c r="C120" s="422" t="s">
        <v>1177</v>
      </c>
      <c r="D120" s="423" t="s">
        <v>1161</v>
      </c>
      <c r="E120" s="423" t="str">
        <f>RIGHT(Таблица68[[#This Row],[Полное  наименование]],18)</f>
        <v>CHV 40 D STR PN 52</v>
      </c>
      <c r="F120" s="423" t="s">
        <v>257</v>
      </c>
      <c r="G120" s="423">
        <v>40</v>
      </c>
      <c r="H120" s="423">
        <v>52</v>
      </c>
      <c r="I120" s="423" t="s">
        <v>346</v>
      </c>
      <c r="J120" s="423" t="s">
        <v>924</v>
      </c>
      <c r="K120" s="424" t="s">
        <v>925</v>
      </c>
      <c r="L120" s="422" t="s">
        <v>1178</v>
      </c>
      <c r="M120" s="425">
        <v>75600</v>
      </c>
      <c r="N120" s="425">
        <f>M120*НДС!$A$1</f>
        <v>87696</v>
      </c>
      <c r="O120" s="426" t="s">
        <v>70</v>
      </c>
      <c r="P120" s="422"/>
      <c r="Q120" s="429" t="s">
        <v>65</v>
      </c>
      <c r="R120" s="423">
        <f>IF(Таблица68[[#This Row],[Столбец2]]="A",1,IF(Таблица68[[#This Row],[Столбец2]]="B",2,IF(Таблица68[[#This Row],[Столбец2]]="C",3)))</f>
        <v>3</v>
      </c>
      <c r="S120" s="413" t="s">
        <v>878</v>
      </c>
    </row>
    <row r="121" spans="1:21" ht="16.5">
      <c r="A121" s="420" t="s">
        <v>303</v>
      </c>
      <c r="B121" s="422" t="s">
        <v>1159</v>
      </c>
      <c r="C121" s="422" t="s">
        <v>1179</v>
      </c>
      <c r="D121" s="423" t="s">
        <v>1161</v>
      </c>
      <c r="E121" s="423" t="str">
        <f>RIGHT(Таблица68[[#This Row],[Полное  наименование]],18)</f>
        <v>CHV 40 D ANG PN 52</v>
      </c>
      <c r="F121" s="423" t="s">
        <v>267</v>
      </c>
      <c r="G121" s="423">
        <v>40</v>
      </c>
      <c r="H121" s="423">
        <v>52</v>
      </c>
      <c r="I121" s="423" t="s">
        <v>346</v>
      </c>
      <c r="J121" s="423" t="s">
        <v>924</v>
      </c>
      <c r="K121" s="424" t="s">
        <v>925</v>
      </c>
      <c r="L121" s="422" t="s">
        <v>1180</v>
      </c>
      <c r="M121" s="425">
        <v>75600</v>
      </c>
      <c r="N121" s="425">
        <f>M121*НДС!$A$1</f>
        <v>87696</v>
      </c>
      <c r="O121" s="426" t="s">
        <v>70</v>
      </c>
      <c r="P121" s="422"/>
      <c r="Q121" s="450" t="s">
        <v>61</v>
      </c>
      <c r="R121" s="423">
        <f>IF(Таблица68[[#This Row],[Столбец2]]="A",1,IF(Таблица68[[#This Row],[Столбец2]]="B",2,IF(Таблица68[[#This Row],[Столбец2]]="C",3)))</f>
        <v>2</v>
      </c>
      <c r="S121" s="413" t="s">
        <v>882</v>
      </c>
    </row>
    <row r="122" spans="1:21" ht="25">
      <c r="A122" s="420" t="s">
        <v>283</v>
      </c>
      <c r="B122" s="422" t="s">
        <v>1159</v>
      </c>
      <c r="C122" s="422" t="s">
        <v>1181</v>
      </c>
      <c r="D122" s="423" t="s">
        <v>1161</v>
      </c>
      <c r="E122" s="423" t="str">
        <f>RIGHT(Таблица68[[#This Row],[Полное  наименование]],18)</f>
        <v>CHV 50 D STR PN 52</v>
      </c>
      <c r="F122" s="423" t="s">
        <v>257</v>
      </c>
      <c r="G122" s="423">
        <v>50</v>
      </c>
      <c r="H122" s="423">
        <v>52</v>
      </c>
      <c r="I122" s="423" t="s">
        <v>346</v>
      </c>
      <c r="J122" s="423" t="s">
        <v>924</v>
      </c>
      <c r="K122" s="424" t="s">
        <v>925</v>
      </c>
      <c r="L122" s="422" t="s">
        <v>1182</v>
      </c>
      <c r="M122" s="425">
        <v>90000</v>
      </c>
      <c r="N122" s="425">
        <f>M122*НДС!$A$1</f>
        <v>104400</v>
      </c>
      <c r="O122" s="426" t="s">
        <v>70</v>
      </c>
      <c r="P122" s="422"/>
      <c r="Q122" s="429" t="s">
        <v>65</v>
      </c>
      <c r="R122" s="423">
        <f>IF(Таблица68[[#This Row],[Столбец2]]="A",1,IF(Таблица68[[#This Row],[Столбец2]]="B",2,IF(Таблица68[[#This Row],[Столбец2]]="C",3)))</f>
        <v>3</v>
      </c>
      <c r="S122" s="413" t="s">
        <v>878</v>
      </c>
    </row>
    <row r="123" spans="1:21" ht="25">
      <c r="A123" s="420" t="s">
        <v>304</v>
      </c>
      <c r="B123" s="422" t="s">
        <v>1159</v>
      </c>
      <c r="C123" s="422" t="s">
        <v>1183</v>
      </c>
      <c r="D123" s="423" t="s">
        <v>1161</v>
      </c>
      <c r="E123" s="423" t="str">
        <f>RIGHT(Таблица68[[#This Row],[Полное  наименование]],18)</f>
        <v>CHV 50 D ANG PN 52</v>
      </c>
      <c r="F123" s="423" t="s">
        <v>267</v>
      </c>
      <c r="G123" s="423">
        <v>50</v>
      </c>
      <c r="H123" s="423">
        <v>52</v>
      </c>
      <c r="I123" s="423" t="s">
        <v>346</v>
      </c>
      <c r="J123" s="423" t="s">
        <v>924</v>
      </c>
      <c r="K123" s="424" t="s">
        <v>925</v>
      </c>
      <c r="L123" s="422" t="s">
        <v>1184</v>
      </c>
      <c r="M123" s="425">
        <v>90000</v>
      </c>
      <c r="N123" s="425">
        <f>M123*НДС!$A$1</f>
        <v>104400</v>
      </c>
      <c r="O123" s="426" t="s">
        <v>70</v>
      </c>
      <c r="P123" s="422"/>
      <c r="Q123" s="427" t="s">
        <v>58</v>
      </c>
      <c r="R123" s="423">
        <f>IF(Таблица68[[#This Row],[Столбец2]]="A",1,IF(Таблица68[[#This Row],[Столбец2]]="B",2,IF(Таблица68[[#This Row],[Столбец2]]="C",3)))</f>
        <v>1</v>
      </c>
      <c r="S123" s="413" t="s">
        <v>875</v>
      </c>
    </row>
    <row r="124" spans="1:21" ht="25">
      <c r="A124" s="420" t="s">
        <v>284</v>
      </c>
      <c r="B124" s="422" t="s">
        <v>1159</v>
      </c>
      <c r="C124" s="422" t="s">
        <v>1185</v>
      </c>
      <c r="D124" s="423" t="s">
        <v>1161</v>
      </c>
      <c r="E124" s="423" t="str">
        <f>RIGHT(Таблица68[[#This Row],[Полное  наименование]],18)</f>
        <v>CHV 65 D STR PN 52</v>
      </c>
      <c r="F124" s="423" t="s">
        <v>257</v>
      </c>
      <c r="G124" s="423">
        <v>65</v>
      </c>
      <c r="H124" s="423">
        <v>52</v>
      </c>
      <c r="I124" s="423" t="s">
        <v>346</v>
      </c>
      <c r="J124" s="423" t="s">
        <v>924</v>
      </c>
      <c r="K124" s="424" t="s">
        <v>925</v>
      </c>
      <c r="L124" s="422" t="s">
        <v>1186</v>
      </c>
      <c r="M124" s="425">
        <v>126000</v>
      </c>
      <c r="N124" s="425">
        <f>M124*НДС!$A$1</f>
        <v>146160</v>
      </c>
      <c r="O124" s="426" t="s">
        <v>70</v>
      </c>
      <c r="P124" s="422"/>
      <c r="Q124" s="429" t="s">
        <v>65</v>
      </c>
      <c r="R124" s="423">
        <f>IF(Таблица68[[#This Row],[Столбец2]]="A",1,IF(Таблица68[[#This Row],[Столбец2]]="B",2,IF(Таблица68[[#This Row],[Столбец2]]="C",3)))</f>
        <v>3</v>
      </c>
      <c r="S124" s="413" t="s">
        <v>878</v>
      </c>
    </row>
    <row r="125" spans="1:21" ht="25">
      <c r="A125" s="420" t="s">
        <v>305</v>
      </c>
      <c r="B125" s="422" t="s">
        <v>1159</v>
      </c>
      <c r="C125" s="422" t="s">
        <v>1187</v>
      </c>
      <c r="D125" s="423" t="s">
        <v>1161</v>
      </c>
      <c r="E125" s="423" t="str">
        <f>RIGHT(Таблица68[[#This Row],[Полное  наименование]],18)</f>
        <v>CHV 65 D ANG PN 52</v>
      </c>
      <c r="F125" s="423" t="s">
        <v>267</v>
      </c>
      <c r="G125" s="423">
        <v>65</v>
      </c>
      <c r="H125" s="423">
        <v>52</v>
      </c>
      <c r="I125" s="423" t="s">
        <v>346</v>
      </c>
      <c r="J125" s="423" t="s">
        <v>924</v>
      </c>
      <c r="K125" s="424" t="s">
        <v>925</v>
      </c>
      <c r="L125" s="422" t="s">
        <v>1188</v>
      </c>
      <c r="M125" s="425">
        <v>126000</v>
      </c>
      <c r="N125" s="425">
        <f>M125*НДС!$A$1</f>
        <v>146160</v>
      </c>
      <c r="O125" s="426" t="s">
        <v>70</v>
      </c>
      <c r="P125" s="422"/>
      <c r="Q125" s="427" t="s">
        <v>58</v>
      </c>
      <c r="R125" s="423">
        <f>IF(Таблица68[[#This Row],[Столбец2]]="A",1,IF(Таблица68[[#This Row],[Столбец2]]="B",2,IF(Таблица68[[#This Row],[Столбец2]]="C",3)))</f>
        <v>1</v>
      </c>
      <c r="S125" s="413" t="s">
        <v>875</v>
      </c>
    </row>
    <row r="126" spans="1:21" ht="25">
      <c r="A126" s="420" t="s">
        <v>285</v>
      </c>
      <c r="B126" s="422" t="s">
        <v>1159</v>
      </c>
      <c r="C126" s="422" t="s">
        <v>1189</v>
      </c>
      <c r="D126" s="423" t="s">
        <v>1161</v>
      </c>
      <c r="E126" s="423" t="str">
        <f>RIGHT(Таблица68[[#This Row],[Полное  наименование]],18)</f>
        <v>CHV 80 D STR PN 52</v>
      </c>
      <c r="F126" s="423" t="s">
        <v>257</v>
      </c>
      <c r="G126" s="423">
        <v>80</v>
      </c>
      <c r="H126" s="423">
        <v>52</v>
      </c>
      <c r="I126" s="423" t="s">
        <v>346</v>
      </c>
      <c r="J126" s="423" t="s">
        <v>924</v>
      </c>
      <c r="K126" s="424" t="s">
        <v>925</v>
      </c>
      <c r="L126" s="422" t="s">
        <v>1190</v>
      </c>
      <c r="M126" s="425">
        <v>150000</v>
      </c>
      <c r="N126" s="425">
        <f>M126*НДС!$A$1</f>
        <v>174000</v>
      </c>
      <c r="O126" s="426" t="s">
        <v>70</v>
      </c>
      <c r="P126" s="422"/>
      <c r="Q126" s="429" t="s">
        <v>65</v>
      </c>
      <c r="R126" s="423">
        <f>IF(Таблица68[[#This Row],[Столбец2]]="A",1,IF(Таблица68[[#This Row],[Столбец2]]="B",2,IF(Таблица68[[#This Row],[Столбец2]]="C",3)))</f>
        <v>3</v>
      </c>
      <c r="S126" s="413" t="s">
        <v>878</v>
      </c>
    </row>
    <row r="127" spans="1:21" ht="16.5">
      <c r="A127" s="420" t="s">
        <v>306</v>
      </c>
      <c r="B127" s="422" t="s">
        <v>1159</v>
      </c>
      <c r="C127" s="422" t="s">
        <v>1191</v>
      </c>
      <c r="D127" s="423" t="s">
        <v>1161</v>
      </c>
      <c r="E127" s="423" t="str">
        <f>RIGHT(Таблица68[[#This Row],[Полное  наименование]],18)</f>
        <v>CHV 80 D ANG PN 52</v>
      </c>
      <c r="F127" s="423" t="s">
        <v>267</v>
      </c>
      <c r="G127" s="423">
        <v>80</v>
      </c>
      <c r="H127" s="423">
        <v>52</v>
      </c>
      <c r="I127" s="423" t="s">
        <v>346</v>
      </c>
      <c r="J127" s="423" t="s">
        <v>924</v>
      </c>
      <c r="K127" s="424" t="s">
        <v>925</v>
      </c>
      <c r="L127" s="422" t="s">
        <v>1192</v>
      </c>
      <c r="M127" s="425">
        <v>150000</v>
      </c>
      <c r="N127" s="425">
        <f>M127*НДС!$A$1</f>
        <v>174000</v>
      </c>
      <c r="O127" s="426" t="s">
        <v>70</v>
      </c>
      <c r="P127" s="422"/>
      <c r="Q127" s="450" t="s">
        <v>61</v>
      </c>
      <c r="R127" s="423">
        <f>IF(Таблица68[[#This Row],[Столбец2]]="A",1,IF(Таблица68[[#This Row],[Столбец2]]="B",2,IF(Таблица68[[#This Row],[Столбец2]]="C",3)))</f>
        <v>2</v>
      </c>
      <c r="S127" s="413" t="s">
        <v>882</v>
      </c>
    </row>
    <row r="128" spans="1:21" s="453" customFormat="1" ht="25">
      <c r="A128" s="420" t="s">
        <v>286</v>
      </c>
      <c r="B128" s="422" t="s">
        <v>1159</v>
      </c>
      <c r="C128" s="422" t="s">
        <v>1193</v>
      </c>
      <c r="D128" s="423" t="s">
        <v>1161</v>
      </c>
      <c r="E128" s="423" t="str">
        <f>RIGHT(Таблица68[[#This Row],[Полное  наименование]],19)</f>
        <v>CHV 100 D STR PN 52</v>
      </c>
      <c r="F128" s="423" t="s">
        <v>257</v>
      </c>
      <c r="G128" s="423">
        <v>100</v>
      </c>
      <c r="H128" s="423">
        <v>52</v>
      </c>
      <c r="I128" s="423" t="s">
        <v>346</v>
      </c>
      <c r="J128" s="423" t="s">
        <v>924</v>
      </c>
      <c r="K128" s="424" t="s">
        <v>925</v>
      </c>
      <c r="L128" s="422" t="s">
        <v>1194</v>
      </c>
      <c r="M128" s="425">
        <v>276000</v>
      </c>
      <c r="N128" s="425">
        <f>M128*НДС!$A$1</f>
        <v>320160</v>
      </c>
      <c r="O128" s="426" t="s">
        <v>70</v>
      </c>
      <c r="P128" s="451"/>
      <c r="Q128" s="429" t="s">
        <v>65</v>
      </c>
      <c r="R128" s="423">
        <f>IF(Таблица68[[#This Row],[Столбец2]]="A",1,IF(Таблица68[[#This Row],[Столбец2]]="B",2,IF(Таблица68[[#This Row],[Столбец2]]="C",3)))</f>
        <v>3</v>
      </c>
      <c r="S128" s="452" t="s">
        <v>878</v>
      </c>
      <c r="U128" s="411"/>
    </row>
    <row r="129" spans="1:21" s="453" customFormat="1" ht="25">
      <c r="A129" s="420" t="s">
        <v>307</v>
      </c>
      <c r="B129" s="422" t="s">
        <v>1159</v>
      </c>
      <c r="C129" s="422" t="s">
        <v>1195</v>
      </c>
      <c r="D129" s="423" t="s">
        <v>1161</v>
      </c>
      <c r="E129" s="423" t="str">
        <f>RIGHT(Таблица68[[#This Row],[Полное  наименование]],19)</f>
        <v>CHV 100 D ANG PN 52</v>
      </c>
      <c r="F129" s="423" t="s">
        <v>267</v>
      </c>
      <c r="G129" s="423">
        <v>100</v>
      </c>
      <c r="H129" s="423">
        <v>52</v>
      </c>
      <c r="I129" s="423" t="s">
        <v>346</v>
      </c>
      <c r="J129" s="423" t="s">
        <v>924</v>
      </c>
      <c r="K129" s="424" t="s">
        <v>925</v>
      </c>
      <c r="L129" s="422" t="s">
        <v>1196</v>
      </c>
      <c r="M129" s="425">
        <v>276000</v>
      </c>
      <c r="N129" s="425">
        <f>M129*НДС!$A$1</f>
        <v>320160</v>
      </c>
      <c r="O129" s="426" t="s">
        <v>70</v>
      </c>
      <c r="P129" s="451"/>
      <c r="Q129" s="429" t="s">
        <v>65</v>
      </c>
      <c r="R129" s="423">
        <f>IF(Таблица68[[#This Row],[Столбец2]]="A",1,IF(Таблица68[[#This Row],[Столбец2]]="B",2,IF(Таблица68[[#This Row],[Столбец2]]="C",3)))</f>
        <v>3</v>
      </c>
      <c r="S129" s="452" t="s">
        <v>878</v>
      </c>
      <c r="U129" s="411"/>
    </row>
    <row r="130" spans="1:21" s="453" customFormat="1" ht="25">
      <c r="A130" s="420" t="s">
        <v>290</v>
      </c>
      <c r="B130" s="422" t="s">
        <v>1159</v>
      </c>
      <c r="C130" s="422" t="s">
        <v>1197</v>
      </c>
      <c r="D130" s="423" t="s">
        <v>1161</v>
      </c>
      <c r="E130" s="423" t="str">
        <f>RIGHT(Таблица68[[#This Row],[Полное  наименование]],19)</f>
        <v>CHV 125 D STR PN 52</v>
      </c>
      <c r="F130" s="423" t="s">
        <v>257</v>
      </c>
      <c r="G130" s="423">
        <v>125</v>
      </c>
      <c r="H130" s="423">
        <v>52</v>
      </c>
      <c r="I130" s="423" t="s">
        <v>346</v>
      </c>
      <c r="J130" s="423" t="s">
        <v>924</v>
      </c>
      <c r="K130" s="424" t="s">
        <v>925</v>
      </c>
      <c r="L130" s="422" t="s">
        <v>1198</v>
      </c>
      <c r="M130" s="425">
        <v>522000</v>
      </c>
      <c r="N130" s="425">
        <f>M130*НДС!$A$1</f>
        <v>605520</v>
      </c>
      <c r="O130" s="426" t="s">
        <v>70</v>
      </c>
      <c r="P130" s="451"/>
      <c r="Q130" s="429" t="s">
        <v>65</v>
      </c>
      <c r="R130" s="423">
        <f>IF(Таблица68[[#This Row],[Столбец2]]="A",1,IF(Таблица68[[#This Row],[Столбец2]]="B",2,IF(Таблица68[[#This Row],[Столбец2]]="C",3)))</f>
        <v>3</v>
      </c>
      <c r="S130" s="452" t="s">
        <v>878</v>
      </c>
      <c r="U130" s="411"/>
    </row>
    <row r="131" spans="1:21" s="453" customFormat="1" ht="25">
      <c r="A131" s="420" t="s">
        <v>311</v>
      </c>
      <c r="B131" s="422" t="s">
        <v>1159</v>
      </c>
      <c r="C131" s="422" t="s">
        <v>1199</v>
      </c>
      <c r="D131" s="423" t="s">
        <v>1161</v>
      </c>
      <c r="E131" s="423" t="str">
        <f>RIGHT(Таблица68[[#This Row],[Полное  наименование]],19)</f>
        <v>CHV 125 D ANG PN 52</v>
      </c>
      <c r="F131" s="423" t="s">
        <v>267</v>
      </c>
      <c r="G131" s="423">
        <v>125</v>
      </c>
      <c r="H131" s="423">
        <v>52</v>
      </c>
      <c r="I131" s="423" t="s">
        <v>346</v>
      </c>
      <c r="J131" s="423" t="s">
        <v>924</v>
      </c>
      <c r="K131" s="424" t="s">
        <v>925</v>
      </c>
      <c r="L131" s="422" t="s">
        <v>1200</v>
      </c>
      <c r="M131" s="425">
        <v>522000</v>
      </c>
      <c r="N131" s="425">
        <f>M131*НДС!$A$1</f>
        <v>605520</v>
      </c>
      <c r="O131" s="426" t="s">
        <v>70</v>
      </c>
      <c r="P131" s="451"/>
      <c r="Q131" s="429" t="s">
        <v>65</v>
      </c>
      <c r="R131" s="423">
        <f>IF(Таблица68[[#This Row],[Столбец2]]="A",1,IF(Таблица68[[#This Row],[Столбец2]]="B",2,IF(Таблица68[[#This Row],[Столбец2]]="C",3)))</f>
        <v>3</v>
      </c>
      <c r="S131" s="452" t="s">
        <v>878</v>
      </c>
      <c r="U131" s="411"/>
    </row>
    <row r="132" spans="1:21" s="453" customFormat="1" ht="25">
      <c r="A132" s="420" t="s">
        <v>294</v>
      </c>
      <c r="B132" s="422" t="s">
        <v>1159</v>
      </c>
      <c r="C132" s="422" t="s">
        <v>1201</v>
      </c>
      <c r="D132" s="423" t="s">
        <v>1161</v>
      </c>
      <c r="E132" s="423" t="str">
        <f>RIGHT(Таблица68[[#This Row],[Полное  наименование]],19)</f>
        <v>CHV 150 D STR PN 52</v>
      </c>
      <c r="F132" s="423" t="s">
        <v>257</v>
      </c>
      <c r="G132" s="423">
        <v>150</v>
      </c>
      <c r="H132" s="423">
        <v>52</v>
      </c>
      <c r="I132" s="423" t="s">
        <v>346</v>
      </c>
      <c r="J132" s="423" t="s">
        <v>924</v>
      </c>
      <c r="K132" s="424" t="s">
        <v>925</v>
      </c>
      <c r="L132" s="422" t="s">
        <v>1202</v>
      </c>
      <c r="M132" s="425">
        <v>774000</v>
      </c>
      <c r="N132" s="425">
        <f>M132*НДС!$A$1</f>
        <v>897839.99999999988</v>
      </c>
      <c r="O132" s="426" t="s">
        <v>70</v>
      </c>
      <c r="P132" s="451"/>
      <c r="Q132" s="429" t="s">
        <v>65</v>
      </c>
      <c r="R132" s="423">
        <f>IF(Таблица68[[#This Row],[Столбец2]]="A",1,IF(Таблица68[[#This Row],[Столбец2]]="B",2,IF(Таблица68[[#This Row],[Столбец2]]="C",3)))</f>
        <v>3</v>
      </c>
      <c r="S132" s="452" t="s">
        <v>878</v>
      </c>
      <c r="U132" s="411"/>
    </row>
    <row r="133" spans="1:21" s="453" customFormat="1" ht="25">
      <c r="A133" s="420" t="s">
        <v>315</v>
      </c>
      <c r="B133" s="422" t="s">
        <v>1159</v>
      </c>
      <c r="C133" s="422" t="s">
        <v>1203</v>
      </c>
      <c r="D133" s="423" t="s">
        <v>1161</v>
      </c>
      <c r="E133" s="423" t="str">
        <f>RIGHT(Таблица68[[#This Row],[Полное  наименование]],19)</f>
        <v>CHV 150 D ANG PN 52</v>
      </c>
      <c r="F133" s="423" t="s">
        <v>267</v>
      </c>
      <c r="G133" s="423">
        <v>150</v>
      </c>
      <c r="H133" s="423">
        <v>52</v>
      </c>
      <c r="I133" s="423" t="s">
        <v>346</v>
      </c>
      <c r="J133" s="423" t="s">
        <v>924</v>
      </c>
      <c r="K133" s="424" t="s">
        <v>925</v>
      </c>
      <c r="L133" s="422" t="s">
        <v>1204</v>
      </c>
      <c r="M133" s="425">
        <v>774000</v>
      </c>
      <c r="N133" s="425">
        <f>M133*НДС!$A$1</f>
        <v>897839.99999999988</v>
      </c>
      <c r="O133" s="426" t="s">
        <v>70</v>
      </c>
      <c r="P133" s="451"/>
      <c r="Q133" s="429" t="s">
        <v>65</v>
      </c>
      <c r="R133" s="423">
        <f>IF(Таблица68[[#This Row],[Столбец2]]="A",1,IF(Таблица68[[#This Row],[Столбец2]]="B",2,IF(Таблица68[[#This Row],[Столбец2]]="C",3)))</f>
        <v>3</v>
      </c>
      <c r="S133" s="452" t="s">
        <v>878</v>
      </c>
      <c r="U133" s="411"/>
    </row>
    <row r="134" spans="1:21" ht="25">
      <c r="A134" s="420" t="s">
        <v>288</v>
      </c>
      <c r="B134" s="422" t="s">
        <v>1159</v>
      </c>
      <c r="C134" s="422" t="s">
        <v>1205</v>
      </c>
      <c r="D134" s="423" t="s">
        <v>1161</v>
      </c>
      <c r="E134" s="423" t="str">
        <f>RIGHT(Таблица68[[#This Row],[Полное  наименование]],19)</f>
        <v>CHV 100 D STR PN 40</v>
      </c>
      <c r="F134" s="423" t="s">
        <v>257</v>
      </c>
      <c r="G134" s="423">
        <v>100</v>
      </c>
      <c r="H134" s="423">
        <v>40</v>
      </c>
      <c r="I134" s="423" t="s">
        <v>346</v>
      </c>
      <c r="J134" s="423" t="s">
        <v>924</v>
      </c>
      <c r="K134" s="424" t="s">
        <v>925</v>
      </c>
      <c r="L134" s="422" t="s">
        <v>1206</v>
      </c>
      <c r="M134" s="425">
        <v>234000</v>
      </c>
      <c r="N134" s="425">
        <f>M134*НДС!$A$1</f>
        <v>271440</v>
      </c>
      <c r="O134" s="426" t="s">
        <v>70</v>
      </c>
      <c r="P134" s="422"/>
      <c r="Q134" s="429" t="s">
        <v>65</v>
      </c>
      <c r="R134" s="423">
        <f>IF(Таблица68[[#This Row],[Столбец2]]="A",1,IF(Таблица68[[#This Row],[Столбец2]]="B",2,IF(Таблица68[[#This Row],[Столбец2]]="C",3)))</f>
        <v>3</v>
      </c>
      <c r="S134" s="413" t="s">
        <v>878</v>
      </c>
    </row>
    <row r="135" spans="1:21" ht="25">
      <c r="A135" s="420" t="s">
        <v>309</v>
      </c>
      <c r="B135" s="422" t="s">
        <v>1159</v>
      </c>
      <c r="C135" s="422" t="s">
        <v>1207</v>
      </c>
      <c r="D135" s="423" t="s">
        <v>1161</v>
      </c>
      <c r="E135" s="423" t="str">
        <f>RIGHT(Таблица68[[#This Row],[Полное  наименование]],19)</f>
        <v>CHV 100 D ANG PN 40</v>
      </c>
      <c r="F135" s="423" t="s">
        <v>267</v>
      </c>
      <c r="G135" s="423">
        <v>100</v>
      </c>
      <c r="H135" s="423">
        <v>40</v>
      </c>
      <c r="I135" s="423" t="s">
        <v>346</v>
      </c>
      <c r="J135" s="423" t="s">
        <v>924</v>
      </c>
      <c r="K135" s="424" t="s">
        <v>925</v>
      </c>
      <c r="L135" s="422" t="s">
        <v>1208</v>
      </c>
      <c r="M135" s="425">
        <v>234000</v>
      </c>
      <c r="N135" s="425">
        <f>M135*НДС!$A$1</f>
        <v>271440</v>
      </c>
      <c r="O135" s="426" t="s">
        <v>70</v>
      </c>
      <c r="P135" s="422"/>
      <c r="Q135" s="429" t="s">
        <v>65</v>
      </c>
      <c r="R135" s="423">
        <f>IF(Таблица68[[#This Row],[Столбец2]]="A",1,IF(Таблица68[[#This Row],[Столбец2]]="B",2,IF(Таблица68[[#This Row],[Столбец2]]="C",3)))</f>
        <v>3</v>
      </c>
      <c r="S135" s="413" t="s">
        <v>878</v>
      </c>
    </row>
    <row r="136" spans="1:21" ht="25">
      <c r="A136" s="420" t="s">
        <v>292</v>
      </c>
      <c r="B136" s="422" t="s">
        <v>1159</v>
      </c>
      <c r="C136" s="422" t="s">
        <v>1209</v>
      </c>
      <c r="D136" s="423" t="s">
        <v>1161</v>
      </c>
      <c r="E136" s="423" t="str">
        <f>RIGHT(Таблица68[[#This Row],[Полное  наименование]],19)</f>
        <v>CHV 125 D STR PN 40</v>
      </c>
      <c r="F136" s="423" t="s">
        <v>257</v>
      </c>
      <c r="G136" s="423">
        <v>125</v>
      </c>
      <c r="H136" s="423">
        <v>40</v>
      </c>
      <c r="I136" s="423" t="s">
        <v>346</v>
      </c>
      <c r="J136" s="423" t="s">
        <v>924</v>
      </c>
      <c r="K136" s="424" t="s">
        <v>925</v>
      </c>
      <c r="L136" s="422" t="s">
        <v>1210</v>
      </c>
      <c r="M136" s="425">
        <v>408000</v>
      </c>
      <c r="N136" s="425">
        <f>M136*НДС!$A$1</f>
        <v>473279.99999999994</v>
      </c>
      <c r="O136" s="426" t="s">
        <v>70</v>
      </c>
      <c r="P136" s="422"/>
      <c r="Q136" s="429" t="s">
        <v>65</v>
      </c>
      <c r="R136" s="423">
        <f>IF(Таблица68[[#This Row],[Столбец2]]="A",1,IF(Таблица68[[#This Row],[Столбец2]]="B",2,IF(Таблица68[[#This Row],[Столбец2]]="C",3)))</f>
        <v>3</v>
      </c>
      <c r="S136" s="413" t="s">
        <v>878</v>
      </c>
    </row>
    <row r="137" spans="1:21" ht="25">
      <c r="A137" s="420" t="s">
        <v>313</v>
      </c>
      <c r="B137" s="422" t="s">
        <v>1159</v>
      </c>
      <c r="C137" s="422" t="s">
        <v>1211</v>
      </c>
      <c r="D137" s="423" t="s">
        <v>1161</v>
      </c>
      <c r="E137" s="423" t="str">
        <f>RIGHT(Таблица68[[#This Row],[Полное  наименование]],19)</f>
        <v>CHV 125 D ANG PN 40</v>
      </c>
      <c r="F137" s="423" t="s">
        <v>267</v>
      </c>
      <c r="G137" s="423">
        <v>125</v>
      </c>
      <c r="H137" s="423">
        <v>40</v>
      </c>
      <c r="I137" s="423" t="s">
        <v>346</v>
      </c>
      <c r="J137" s="423" t="s">
        <v>924</v>
      </c>
      <c r="K137" s="424" t="s">
        <v>925</v>
      </c>
      <c r="L137" s="422" t="s">
        <v>1212</v>
      </c>
      <c r="M137" s="425">
        <v>408000</v>
      </c>
      <c r="N137" s="425">
        <f>M137*НДС!$A$1</f>
        <v>473279.99999999994</v>
      </c>
      <c r="O137" s="426" t="s">
        <v>70</v>
      </c>
      <c r="P137" s="422"/>
      <c r="Q137" s="429" t="s">
        <v>65</v>
      </c>
      <c r="R137" s="423">
        <f>IF(Таблица68[[#This Row],[Столбец2]]="A",1,IF(Таблица68[[#This Row],[Столбец2]]="B",2,IF(Таблица68[[#This Row],[Столбец2]]="C",3)))</f>
        <v>3</v>
      </c>
      <c r="S137" s="413" t="s">
        <v>878</v>
      </c>
    </row>
    <row r="138" spans="1:21" ht="25">
      <c r="A138" s="420" t="s">
        <v>296</v>
      </c>
      <c r="B138" s="422" t="s">
        <v>1159</v>
      </c>
      <c r="C138" s="422" t="s">
        <v>1213</v>
      </c>
      <c r="D138" s="423" t="s">
        <v>1161</v>
      </c>
      <c r="E138" s="423" t="str">
        <f>RIGHT(Таблица68[[#This Row],[Полное  наименование]],19)</f>
        <v>CHV 150 D STR PN 40</v>
      </c>
      <c r="F138" s="423" t="s">
        <v>257</v>
      </c>
      <c r="G138" s="423">
        <v>150</v>
      </c>
      <c r="H138" s="423">
        <v>40</v>
      </c>
      <c r="I138" s="423" t="s">
        <v>346</v>
      </c>
      <c r="J138" s="423" t="s">
        <v>924</v>
      </c>
      <c r="K138" s="424" t="s">
        <v>925</v>
      </c>
      <c r="L138" s="422" t="s">
        <v>1214</v>
      </c>
      <c r="M138" s="425">
        <v>600000</v>
      </c>
      <c r="N138" s="425">
        <f>M138*НДС!$A$1</f>
        <v>696000</v>
      </c>
      <c r="O138" s="426" t="s">
        <v>70</v>
      </c>
      <c r="P138" s="422"/>
      <c r="Q138" s="429" t="s">
        <v>65</v>
      </c>
      <c r="R138" s="423">
        <f>IF(Таблица68[[#This Row],[Столбец2]]="A",1,IF(Таблица68[[#This Row],[Столбец2]]="B",2,IF(Таблица68[[#This Row],[Столбец2]]="C",3)))</f>
        <v>3</v>
      </c>
      <c r="S138" s="413" t="s">
        <v>878</v>
      </c>
    </row>
    <row r="139" spans="1:21" ht="25">
      <c r="A139" s="420" t="s">
        <v>317</v>
      </c>
      <c r="B139" s="422" t="s">
        <v>1159</v>
      </c>
      <c r="C139" s="422" t="s">
        <v>1215</v>
      </c>
      <c r="D139" s="423" t="s">
        <v>1161</v>
      </c>
      <c r="E139" s="423" t="str">
        <f>RIGHT(Таблица68[[#This Row],[Полное  наименование]],19)</f>
        <v>CHV 150 D ANG PN 40</v>
      </c>
      <c r="F139" s="423" t="s">
        <v>267</v>
      </c>
      <c r="G139" s="423">
        <v>150</v>
      </c>
      <c r="H139" s="423">
        <v>40</v>
      </c>
      <c r="I139" s="423" t="s">
        <v>346</v>
      </c>
      <c r="J139" s="423" t="s">
        <v>924</v>
      </c>
      <c r="K139" s="424" t="s">
        <v>925</v>
      </c>
      <c r="L139" s="422" t="s">
        <v>1216</v>
      </c>
      <c r="M139" s="425">
        <v>600000</v>
      </c>
      <c r="N139" s="425">
        <f>M139*НДС!$A$1</f>
        <v>696000</v>
      </c>
      <c r="O139" s="426" t="s">
        <v>70</v>
      </c>
      <c r="P139" s="422"/>
      <c r="Q139" s="429" t="s">
        <v>65</v>
      </c>
      <c r="R139" s="423">
        <f>IF(Таблица68[[#This Row],[Столбец2]]="A",1,IF(Таблица68[[#This Row],[Столбец2]]="B",2,IF(Таблица68[[#This Row],[Столбец2]]="C",3)))</f>
        <v>3</v>
      </c>
      <c r="S139" s="413" t="s">
        <v>878</v>
      </c>
    </row>
    <row r="140" spans="1:21" ht="25">
      <c r="A140" s="420" t="s">
        <v>323</v>
      </c>
      <c r="B140" s="422" t="s">
        <v>1217</v>
      </c>
      <c r="C140" s="422" t="s">
        <v>1218</v>
      </c>
      <c r="D140" s="423" t="s">
        <v>1219</v>
      </c>
      <c r="E140" s="423" t="str">
        <f>RIGHT(Таблица68[[#This Row],[Полное  наименование]],18)</f>
        <v>SCA 15 D STR PN 52</v>
      </c>
      <c r="F140" s="423" t="s">
        <v>257</v>
      </c>
      <c r="G140" s="423">
        <v>15</v>
      </c>
      <c r="H140" s="423">
        <v>52</v>
      </c>
      <c r="I140" s="423" t="s">
        <v>346</v>
      </c>
      <c r="J140" s="423" t="s">
        <v>924</v>
      </c>
      <c r="K140" s="424" t="s">
        <v>925</v>
      </c>
      <c r="L140" s="422" t="s">
        <v>1220</v>
      </c>
      <c r="M140" s="425">
        <v>43800</v>
      </c>
      <c r="N140" s="425">
        <f>M140*НДС!$A$1</f>
        <v>50808</v>
      </c>
      <c r="O140" s="426" t="s">
        <v>70</v>
      </c>
      <c r="P140" s="422"/>
      <c r="Q140" s="429" t="s">
        <v>65</v>
      </c>
      <c r="R140" s="423">
        <f>IF(Таблица68[[#This Row],[Столбец2]]="A",1,IF(Таблица68[[#This Row],[Столбец2]]="B",2,IF(Таблица68[[#This Row],[Столбец2]]="C",3)))</f>
        <v>3</v>
      </c>
      <c r="S140" s="413" t="s">
        <v>878</v>
      </c>
    </row>
    <row r="141" spans="1:21" ht="25">
      <c r="A141" s="420" t="s">
        <v>344</v>
      </c>
      <c r="B141" s="422" t="s">
        <v>1217</v>
      </c>
      <c r="C141" s="422" t="s">
        <v>1221</v>
      </c>
      <c r="D141" s="423" t="s">
        <v>1219</v>
      </c>
      <c r="E141" s="423" t="str">
        <f>RIGHT(Таблица68[[#This Row],[Полное  наименование]],18)</f>
        <v>SCA 15 D ANG PN 52</v>
      </c>
      <c r="F141" s="423" t="s">
        <v>267</v>
      </c>
      <c r="G141" s="423">
        <v>15</v>
      </c>
      <c r="H141" s="423">
        <v>52</v>
      </c>
      <c r="I141" s="423" t="s">
        <v>346</v>
      </c>
      <c r="J141" s="423" t="s">
        <v>924</v>
      </c>
      <c r="K141" s="424" t="s">
        <v>925</v>
      </c>
      <c r="L141" s="422" t="s">
        <v>1222</v>
      </c>
      <c r="M141" s="425">
        <v>43800</v>
      </c>
      <c r="N141" s="425">
        <f>M141*НДС!$A$1</f>
        <v>50808</v>
      </c>
      <c r="O141" s="426" t="s">
        <v>70</v>
      </c>
      <c r="P141" s="422"/>
      <c r="Q141" s="427" t="s">
        <v>58</v>
      </c>
      <c r="R141" s="423">
        <f>IF(Таблица68[[#This Row],[Столбец2]]="A",1,IF(Таблица68[[#This Row],[Столбец2]]="B",2,IF(Таблица68[[#This Row],[Столбец2]]="C",3)))</f>
        <v>1</v>
      </c>
      <c r="S141" s="413" t="s">
        <v>875</v>
      </c>
    </row>
    <row r="142" spans="1:21" ht="25">
      <c r="A142" s="420" t="s">
        <v>324</v>
      </c>
      <c r="B142" s="422" t="s">
        <v>1217</v>
      </c>
      <c r="C142" s="422" t="s">
        <v>1223</v>
      </c>
      <c r="D142" s="423" t="s">
        <v>1219</v>
      </c>
      <c r="E142" s="423" t="str">
        <f>RIGHT(Таблица68[[#This Row],[Полное  наименование]],18)</f>
        <v>SCA 20 D STR PN 52</v>
      </c>
      <c r="F142" s="423" t="s">
        <v>257</v>
      </c>
      <c r="G142" s="423">
        <v>20</v>
      </c>
      <c r="H142" s="423">
        <v>52</v>
      </c>
      <c r="I142" s="423" t="s">
        <v>346</v>
      </c>
      <c r="J142" s="423" t="s">
        <v>924</v>
      </c>
      <c r="K142" s="424" t="s">
        <v>925</v>
      </c>
      <c r="L142" s="422" t="s">
        <v>1224</v>
      </c>
      <c r="M142" s="425">
        <v>46800</v>
      </c>
      <c r="N142" s="425">
        <f>M142*НДС!$A$1</f>
        <v>54287.999999999993</v>
      </c>
      <c r="O142" s="426" t="s">
        <v>70</v>
      </c>
      <c r="P142" s="422"/>
      <c r="Q142" s="429" t="s">
        <v>65</v>
      </c>
      <c r="R142" s="423">
        <f>IF(Таблица68[[#This Row],[Столбец2]]="A",1,IF(Таблица68[[#This Row],[Столбец2]]="B",2,IF(Таблица68[[#This Row],[Столбец2]]="C",3)))</f>
        <v>3</v>
      </c>
      <c r="S142" s="413" t="s">
        <v>878</v>
      </c>
    </row>
    <row r="143" spans="1:21" ht="16.5">
      <c r="A143" s="420" t="s">
        <v>345</v>
      </c>
      <c r="B143" s="422" t="s">
        <v>1217</v>
      </c>
      <c r="C143" s="422" t="s">
        <v>1225</v>
      </c>
      <c r="D143" s="423" t="s">
        <v>1219</v>
      </c>
      <c r="E143" s="423" t="str">
        <f>RIGHT(Таблица68[[#This Row],[Полное  наименование]],18)</f>
        <v>SCA 20 D ANG PN 52</v>
      </c>
      <c r="F143" s="423" t="s">
        <v>267</v>
      </c>
      <c r="G143" s="423">
        <v>20</v>
      </c>
      <c r="H143" s="423">
        <v>52</v>
      </c>
      <c r="I143" s="423" t="s">
        <v>346</v>
      </c>
      <c r="J143" s="423" t="s">
        <v>924</v>
      </c>
      <c r="K143" s="424" t="s">
        <v>925</v>
      </c>
      <c r="L143" s="422" t="s">
        <v>1226</v>
      </c>
      <c r="M143" s="425">
        <v>46800</v>
      </c>
      <c r="N143" s="425">
        <f>M143*НДС!$A$1</f>
        <v>54287.999999999993</v>
      </c>
      <c r="O143" s="426" t="s">
        <v>70</v>
      </c>
      <c r="P143" s="422"/>
      <c r="Q143" s="450" t="s">
        <v>61</v>
      </c>
      <c r="R143" s="423">
        <f>IF(Таблица68[[#This Row],[Столбец2]]="A",1,IF(Таблица68[[#This Row],[Столбец2]]="B",2,IF(Таблица68[[#This Row],[Столбец2]]="C",3)))</f>
        <v>2</v>
      </c>
      <c r="S143" s="413" t="s">
        <v>882</v>
      </c>
    </row>
    <row r="144" spans="1:21" ht="25">
      <c r="A144" s="420" t="s">
        <v>325</v>
      </c>
      <c r="B144" s="422" t="s">
        <v>1217</v>
      </c>
      <c r="C144" s="422" t="s">
        <v>1227</v>
      </c>
      <c r="D144" s="423" t="s">
        <v>1219</v>
      </c>
      <c r="E144" s="423" t="str">
        <f>RIGHT(Таблица68[[#This Row],[Полное  наименование]],18)</f>
        <v>SCA 25 D STR PN 52</v>
      </c>
      <c r="F144" s="423" t="s">
        <v>257</v>
      </c>
      <c r="G144" s="423">
        <v>25</v>
      </c>
      <c r="H144" s="423">
        <v>52</v>
      </c>
      <c r="I144" s="423" t="s">
        <v>346</v>
      </c>
      <c r="J144" s="423" t="s">
        <v>924</v>
      </c>
      <c r="K144" s="424" t="s">
        <v>925</v>
      </c>
      <c r="L144" s="422" t="s">
        <v>1228</v>
      </c>
      <c r="M144" s="425">
        <v>61200</v>
      </c>
      <c r="N144" s="425">
        <f>M144*НДС!$A$1</f>
        <v>70992</v>
      </c>
      <c r="O144" s="426" t="s">
        <v>70</v>
      </c>
      <c r="P144" s="422"/>
      <c r="Q144" s="429" t="s">
        <v>65</v>
      </c>
      <c r="R144" s="423">
        <f>IF(Таблица68[[#This Row],[Столбец2]]="A",1,IF(Таблица68[[#This Row],[Столбец2]]="B",2,IF(Таблица68[[#This Row],[Столбец2]]="C",3)))</f>
        <v>3</v>
      </c>
      <c r="S144" s="413" t="s">
        <v>878</v>
      </c>
    </row>
    <row r="145" spans="1:21" ht="16.5">
      <c r="A145" s="420" t="s">
        <v>347</v>
      </c>
      <c r="B145" s="422" t="s">
        <v>1217</v>
      </c>
      <c r="C145" s="422" t="s">
        <v>1229</v>
      </c>
      <c r="D145" s="423" t="s">
        <v>1219</v>
      </c>
      <c r="E145" s="423" t="str">
        <f>RIGHT(Таблица68[[#This Row],[Полное  наименование]],18)</f>
        <v>SCA 25 D ANG PN 52</v>
      </c>
      <c r="F145" s="423" t="s">
        <v>267</v>
      </c>
      <c r="G145" s="423">
        <v>25</v>
      </c>
      <c r="H145" s="423">
        <v>52</v>
      </c>
      <c r="I145" s="423" t="s">
        <v>346</v>
      </c>
      <c r="J145" s="423" t="s">
        <v>924</v>
      </c>
      <c r="K145" s="424" t="s">
        <v>925</v>
      </c>
      <c r="L145" s="422" t="s">
        <v>1230</v>
      </c>
      <c r="M145" s="425">
        <v>61200</v>
      </c>
      <c r="N145" s="425">
        <f>M145*НДС!$A$1</f>
        <v>70992</v>
      </c>
      <c r="O145" s="426" t="s">
        <v>70</v>
      </c>
      <c r="P145" s="422"/>
      <c r="Q145" s="450" t="s">
        <v>61</v>
      </c>
      <c r="R145" s="423">
        <f>IF(Таблица68[[#This Row],[Столбец2]]="A",1,IF(Таблица68[[#This Row],[Столбец2]]="B",2,IF(Таблица68[[#This Row],[Столбец2]]="C",3)))</f>
        <v>2</v>
      </c>
      <c r="S145" s="413" t="s">
        <v>882</v>
      </c>
    </row>
    <row r="146" spans="1:21" ht="25">
      <c r="A146" s="420" t="s">
        <v>326</v>
      </c>
      <c r="B146" s="422" t="s">
        <v>1217</v>
      </c>
      <c r="C146" s="422" t="s">
        <v>1231</v>
      </c>
      <c r="D146" s="423" t="s">
        <v>1219</v>
      </c>
      <c r="E146" s="423" t="str">
        <f>RIGHT(Таблица68[[#This Row],[Полное  наименование]],18)</f>
        <v>SCA 32 D STR PN 52</v>
      </c>
      <c r="F146" s="423" t="s">
        <v>257</v>
      </c>
      <c r="G146" s="423">
        <v>32</v>
      </c>
      <c r="H146" s="423">
        <v>52</v>
      </c>
      <c r="I146" s="423" t="s">
        <v>346</v>
      </c>
      <c r="J146" s="423" t="s">
        <v>924</v>
      </c>
      <c r="K146" s="424" t="s">
        <v>925</v>
      </c>
      <c r="L146" s="422" t="s">
        <v>1232</v>
      </c>
      <c r="M146" s="425">
        <v>66000</v>
      </c>
      <c r="N146" s="425">
        <f>M146*НДС!$A$1</f>
        <v>76560</v>
      </c>
      <c r="O146" s="426" t="s">
        <v>70</v>
      </c>
      <c r="P146" s="422"/>
      <c r="Q146" s="429" t="s">
        <v>65</v>
      </c>
      <c r="R146" s="423">
        <f>IF(Таблица68[[#This Row],[Столбец2]]="A",1,IF(Таблица68[[#This Row],[Столбец2]]="B",2,IF(Таблица68[[#This Row],[Столбец2]]="C",3)))</f>
        <v>3</v>
      </c>
      <c r="S146" s="413" t="s">
        <v>878</v>
      </c>
    </row>
    <row r="147" spans="1:21" ht="25">
      <c r="A147" s="420" t="s">
        <v>348</v>
      </c>
      <c r="B147" s="422" t="s">
        <v>1217</v>
      </c>
      <c r="C147" s="422" t="s">
        <v>1233</v>
      </c>
      <c r="D147" s="423" t="s">
        <v>1219</v>
      </c>
      <c r="E147" s="423" t="str">
        <f>RIGHT(Таблица68[[#This Row],[Полное  наименование]],18)</f>
        <v>SCA 32 D ANG PN 52</v>
      </c>
      <c r="F147" s="423" t="s">
        <v>267</v>
      </c>
      <c r="G147" s="423">
        <v>32</v>
      </c>
      <c r="H147" s="423">
        <v>52</v>
      </c>
      <c r="I147" s="423" t="s">
        <v>346</v>
      </c>
      <c r="J147" s="423" t="s">
        <v>924</v>
      </c>
      <c r="K147" s="424" t="s">
        <v>925</v>
      </c>
      <c r="L147" s="422" t="s">
        <v>1234</v>
      </c>
      <c r="M147" s="425">
        <v>66000</v>
      </c>
      <c r="N147" s="425">
        <f>M147*НДС!$A$1</f>
        <v>76560</v>
      </c>
      <c r="O147" s="426" t="s">
        <v>70</v>
      </c>
      <c r="P147" s="422"/>
      <c r="Q147" s="429" t="s">
        <v>65</v>
      </c>
      <c r="R147" s="423">
        <f>IF(Таблица68[[#This Row],[Столбец2]]="A",1,IF(Таблица68[[#This Row],[Столбец2]]="B",2,IF(Таблица68[[#This Row],[Столбец2]]="C",3)))</f>
        <v>3</v>
      </c>
      <c r="S147" s="413" t="s">
        <v>878</v>
      </c>
    </row>
    <row r="148" spans="1:21" ht="25">
      <c r="A148" s="420" t="s">
        <v>327</v>
      </c>
      <c r="B148" s="422" t="s">
        <v>1217</v>
      </c>
      <c r="C148" s="422" t="s">
        <v>1235</v>
      </c>
      <c r="D148" s="423" t="s">
        <v>1219</v>
      </c>
      <c r="E148" s="423" t="str">
        <f>RIGHT(Таблица68[[#This Row],[Полное  наименование]],18)</f>
        <v>SCA 40 D STR PN 52</v>
      </c>
      <c r="F148" s="423" t="s">
        <v>257</v>
      </c>
      <c r="G148" s="423">
        <v>40</v>
      </c>
      <c r="H148" s="423">
        <v>52</v>
      </c>
      <c r="I148" s="423" t="s">
        <v>346</v>
      </c>
      <c r="J148" s="423" t="s">
        <v>924</v>
      </c>
      <c r="K148" s="424" t="s">
        <v>925</v>
      </c>
      <c r="L148" s="422" t="s">
        <v>1236</v>
      </c>
      <c r="M148" s="425">
        <v>90000</v>
      </c>
      <c r="N148" s="425">
        <f>M148*НДС!$A$1</f>
        <v>104400</v>
      </c>
      <c r="O148" s="426" t="s">
        <v>70</v>
      </c>
      <c r="P148" s="422"/>
      <c r="Q148" s="429" t="s">
        <v>65</v>
      </c>
      <c r="R148" s="423">
        <f>IF(Таблица68[[#This Row],[Столбец2]]="A",1,IF(Таблица68[[#This Row],[Столбец2]]="B",2,IF(Таблица68[[#This Row],[Столбец2]]="C",3)))</f>
        <v>3</v>
      </c>
      <c r="S148" s="413" t="s">
        <v>878</v>
      </c>
    </row>
    <row r="149" spans="1:21" ht="25">
      <c r="A149" s="420" t="s">
        <v>349</v>
      </c>
      <c r="B149" s="422" t="s">
        <v>1217</v>
      </c>
      <c r="C149" s="422" t="s">
        <v>1237</v>
      </c>
      <c r="D149" s="423" t="s">
        <v>1219</v>
      </c>
      <c r="E149" s="423" t="str">
        <f>RIGHT(Таблица68[[#This Row],[Полное  наименование]],18)</f>
        <v>SCA 40 D ANG PN 52</v>
      </c>
      <c r="F149" s="423" t="s">
        <v>267</v>
      </c>
      <c r="G149" s="423">
        <v>40</v>
      </c>
      <c r="H149" s="423">
        <v>52</v>
      </c>
      <c r="I149" s="423" t="s">
        <v>346</v>
      </c>
      <c r="J149" s="423" t="s">
        <v>924</v>
      </c>
      <c r="K149" s="424" t="s">
        <v>925</v>
      </c>
      <c r="L149" s="422" t="s">
        <v>1238</v>
      </c>
      <c r="M149" s="425">
        <v>90000</v>
      </c>
      <c r="N149" s="425">
        <f>M149*НДС!$A$1</f>
        <v>104400</v>
      </c>
      <c r="O149" s="426" t="s">
        <v>70</v>
      </c>
      <c r="P149" s="422"/>
      <c r="Q149" s="429" t="s">
        <v>65</v>
      </c>
      <c r="R149" s="423">
        <f>IF(Таблица68[[#This Row],[Столбец2]]="A",1,IF(Таблица68[[#This Row],[Столбец2]]="B",2,IF(Таблица68[[#This Row],[Столбец2]]="C",3)))</f>
        <v>3</v>
      </c>
      <c r="S149" s="413" t="s">
        <v>878</v>
      </c>
    </row>
    <row r="150" spans="1:21" ht="16.5">
      <c r="A150" s="420" t="s">
        <v>328</v>
      </c>
      <c r="B150" s="422" t="s">
        <v>1217</v>
      </c>
      <c r="C150" s="422" t="s">
        <v>1239</v>
      </c>
      <c r="D150" s="423" t="s">
        <v>1219</v>
      </c>
      <c r="E150" s="423" t="str">
        <f>RIGHT(Таблица68[[#This Row],[Полное  наименование]],18)</f>
        <v>SCA 50 D STR PN 52</v>
      </c>
      <c r="F150" s="423" t="s">
        <v>257</v>
      </c>
      <c r="G150" s="423">
        <v>50</v>
      </c>
      <c r="H150" s="423">
        <v>52</v>
      </c>
      <c r="I150" s="423" t="s">
        <v>346</v>
      </c>
      <c r="J150" s="423" t="s">
        <v>924</v>
      </c>
      <c r="K150" s="424" t="s">
        <v>925</v>
      </c>
      <c r="L150" s="422" t="s">
        <v>1240</v>
      </c>
      <c r="M150" s="425">
        <v>105000</v>
      </c>
      <c r="N150" s="425">
        <f>M150*НДС!$A$1</f>
        <v>121799.99999999999</v>
      </c>
      <c r="O150" s="426" t="s">
        <v>70</v>
      </c>
      <c r="P150" s="422"/>
      <c r="Q150" s="450" t="s">
        <v>61</v>
      </c>
      <c r="R150" s="423">
        <f>IF(Таблица68[[#This Row],[Столбец2]]="A",1,IF(Таблица68[[#This Row],[Столбец2]]="B",2,IF(Таблица68[[#This Row],[Столбец2]]="C",3)))</f>
        <v>2</v>
      </c>
      <c r="S150" s="413" t="s">
        <v>882</v>
      </c>
    </row>
    <row r="151" spans="1:21" ht="16.5">
      <c r="A151" s="420" t="s">
        <v>350</v>
      </c>
      <c r="B151" s="422" t="s">
        <v>1217</v>
      </c>
      <c r="C151" s="422" t="s">
        <v>1241</v>
      </c>
      <c r="D151" s="423" t="s">
        <v>1219</v>
      </c>
      <c r="E151" s="423" t="str">
        <f>RIGHT(Таблица68[[#This Row],[Полное  наименование]],18)</f>
        <v>SCA 50 D ANG PN 52</v>
      </c>
      <c r="F151" s="423" t="s">
        <v>267</v>
      </c>
      <c r="G151" s="423">
        <v>50</v>
      </c>
      <c r="H151" s="423">
        <v>52</v>
      </c>
      <c r="I151" s="423" t="s">
        <v>346</v>
      </c>
      <c r="J151" s="423" t="s">
        <v>924</v>
      </c>
      <c r="K151" s="424" t="s">
        <v>925</v>
      </c>
      <c r="L151" s="422" t="s">
        <v>1242</v>
      </c>
      <c r="M151" s="425">
        <v>105000</v>
      </c>
      <c r="N151" s="425">
        <f>M151*НДС!$A$1</f>
        <v>121799.99999999999</v>
      </c>
      <c r="O151" s="426" t="s">
        <v>70</v>
      </c>
      <c r="P151" s="422"/>
      <c r="Q151" s="450" t="s">
        <v>61</v>
      </c>
      <c r="R151" s="423">
        <f>IF(Таблица68[[#This Row],[Столбец2]]="A",1,IF(Таблица68[[#This Row],[Столбец2]]="B",2,IF(Таблица68[[#This Row],[Столбец2]]="C",3)))</f>
        <v>2</v>
      </c>
      <c r="S151" s="413" t="s">
        <v>882</v>
      </c>
    </row>
    <row r="152" spans="1:21" ht="25">
      <c r="A152" s="420" t="s">
        <v>329</v>
      </c>
      <c r="B152" s="422" t="s">
        <v>1217</v>
      </c>
      <c r="C152" s="422" t="s">
        <v>1243</v>
      </c>
      <c r="D152" s="423" t="s">
        <v>1219</v>
      </c>
      <c r="E152" s="423" t="str">
        <f>RIGHT(Таблица68[[#This Row],[Полное  наименование]],18)</f>
        <v>SCA 65 D STR PN 52</v>
      </c>
      <c r="F152" s="423" t="s">
        <v>257</v>
      </c>
      <c r="G152" s="423">
        <v>65</v>
      </c>
      <c r="H152" s="423">
        <v>52</v>
      </c>
      <c r="I152" s="423" t="s">
        <v>346</v>
      </c>
      <c r="J152" s="423" t="s">
        <v>924</v>
      </c>
      <c r="K152" s="424" t="s">
        <v>925</v>
      </c>
      <c r="L152" s="422" t="s">
        <v>1244</v>
      </c>
      <c r="M152" s="425">
        <v>153000</v>
      </c>
      <c r="N152" s="425">
        <f>M152*НДС!$A$1</f>
        <v>177480</v>
      </c>
      <c r="O152" s="426" t="s">
        <v>70</v>
      </c>
      <c r="P152" s="422"/>
      <c r="Q152" s="429" t="s">
        <v>65</v>
      </c>
      <c r="R152" s="423">
        <f>IF(Таблица68[[#This Row],[Столбец2]]="A",1,IF(Таблица68[[#This Row],[Столбец2]]="B",2,IF(Таблица68[[#This Row],[Столбец2]]="C",3)))</f>
        <v>3</v>
      </c>
      <c r="S152" s="413" t="s">
        <v>878</v>
      </c>
    </row>
    <row r="153" spans="1:21" ht="16.5">
      <c r="A153" s="420" t="s">
        <v>351</v>
      </c>
      <c r="B153" s="422" t="s">
        <v>1217</v>
      </c>
      <c r="C153" s="422" t="s">
        <v>1245</v>
      </c>
      <c r="D153" s="423" t="s">
        <v>1219</v>
      </c>
      <c r="E153" s="423" t="str">
        <f>RIGHT(Таблица68[[#This Row],[Полное  наименование]],18)</f>
        <v>SCA 65 D ANG PN 52</v>
      </c>
      <c r="F153" s="423" t="s">
        <v>267</v>
      </c>
      <c r="G153" s="423">
        <v>65</v>
      </c>
      <c r="H153" s="423">
        <v>52</v>
      </c>
      <c r="I153" s="423" t="s">
        <v>346</v>
      </c>
      <c r="J153" s="423" t="s">
        <v>924</v>
      </c>
      <c r="K153" s="424" t="s">
        <v>925</v>
      </c>
      <c r="L153" s="422" t="s">
        <v>1246</v>
      </c>
      <c r="M153" s="425">
        <v>153000</v>
      </c>
      <c r="N153" s="425">
        <f>M153*НДС!$A$1</f>
        <v>177480</v>
      </c>
      <c r="O153" s="426" t="s">
        <v>70</v>
      </c>
      <c r="P153" s="422"/>
      <c r="Q153" s="450" t="s">
        <v>61</v>
      </c>
      <c r="R153" s="423">
        <f>IF(Таблица68[[#This Row],[Столбец2]]="A",1,IF(Таблица68[[#This Row],[Столбец2]]="B",2,IF(Таблица68[[#This Row],[Столбец2]]="C",3)))</f>
        <v>2</v>
      </c>
      <c r="S153" s="413" t="s">
        <v>882</v>
      </c>
    </row>
    <row r="154" spans="1:21" ht="25">
      <c r="A154" s="420" t="s">
        <v>330</v>
      </c>
      <c r="B154" s="422" t="s">
        <v>1217</v>
      </c>
      <c r="C154" s="422" t="s">
        <v>1247</v>
      </c>
      <c r="D154" s="423" t="s">
        <v>1219</v>
      </c>
      <c r="E154" s="423" t="str">
        <f>RIGHT(Таблица68[[#This Row],[Полное  наименование]],18)</f>
        <v>SCA 80 D STR PN 52</v>
      </c>
      <c r="F154" s="423" t="s">
        <v>257</v>
      </c>
      <c r="G154" s="423">
        <v>80</v>
      </c>
      <c r="H154" s="423">
        <v>52</v>
      </c>
      <c r="I154" s="423" t="s">
        <v>346</v>
      </c>
      <c r="J154" s="423" t="s">
        <v>924</v>
      </c>
      <c r="K154" s="424" t="s">
        <v>925</v>
      </c>
      <c r="L154" s="422" t="s">
        <v>1248</v>
      </c>
      <c r="M154" s="425">
        <v>174000</v>
      </c>
      <c r="N154" s="425">
        <f>M154*НДС!$A$1</f>
        <v>201840</v>
      </c>
      <c r="O154" s="426" t="s">
        <v>70</v>
      </c>
      <c r="P154" s="422"/>
      <c r="Q154" s="429" t="s">
        <v>65</v>
      </c>
      <c r="R154" s="423">
        <f>IF(Таблица68[[#This Row],[Столбец2]]="A",1,IF(Таблица68[[#This Row],[Столбец2]]="B",2,IF(Таблица68[[#This Row],[Столбец2]]="C",3)))</f>
        <v>3</v>
      </c>
      <c r="S154" s="413" t="s">
        <v>878</v>
      </c>
    </row>
    <row r="155" spans="1:21" ht="16.5">
      <c r="A155" s="420" t="s">
        <v>352</v>
      </c>
      <c r="B155" s="422" t="s">
        <v>1217</v>
      </c>
      <c r="C155" s="422" t="s">
        <v>1249</v>
      </c>
      <c r="D155" s="423" t="s">
        <v>1219</v>
      </c>
      <c r="E155" s="423" t="str">
        <f>RIGHT(Таблица68[[#This Row],[Полное  наименование]],18)</f>
        <v>SCA 80 D ANG PN 52</v>
      </c>
      <c r="F155" s="423" t="s">
        <v>267</v>
      </c>
      <c r="G155" s="423">
        <v>80</v>
      </c>
      <c r="H155" s="423">
        <v>52</v>
      </c>
      <c r="I155" s="423" t="s">
        <v>346</v>
      </c>
      <c r="J155" s="423" t="s">
        <v>924</v>
      </c>
      <c r="K155" s="424" t="s">
        <v>925</v>
      </c>
      <c r="L155" s="422" t="s">
        <v>1250</v>
      </c>
      <c r="M155" s="425">
        <v>174000</v>
      </c>
      <c r="N155" s="425">
        <f>M155*НДС!$A$1</f>
        <v>201840</v>
      </c>
      <c r="O155" s="426" t="s">
        <v>70</v>
      </c>
      <c r="P155" s="422"/>
      <c r="Q155" s="450" t="s">
        <v>61</v>
      </c>
      <c r="R155" s="423">
        <f>IF(Таблица68[[#This Row],[Столбец2]]="A",1,IF(Таблица68[[#This Row],[Столбец2]]="B",2,IF(Таблица68[[#This Row],[Столбец2]]="C",3)))</f>
        <v>2</v>
      </c>
      <c r="S155" s="413" t="s">
        <v>882</v>
      </c>
    </row>
    <row r="156" spans="1:21" s="453" customFormat="1" ht="25">
      <c r="A156" s="420" t="s">
        <v>331</v>
      </c>
      <c r="B156" s="422" t="s">
        <v>1217</v>
      </c>
      <c r="C156" s="422" t="s">
        <v>1251</v>
      </c>
      <c r="D156" s="423" t="s">
        <v>1219</v>
      </c>
      <c r="E156" s="423" t="str">
        <f>RIGHT(Таблица68[[#This Row],[Полное  наименование]],19)</f>
        <v>SCA 100 D STR PN 52</v>
      </c>
      <c r="F156" s="423" t="s">
        <v>257</v>
      </c>
      <c r="G156" s="423">
        <v>100</v>
      </c>
      <c r="H156" s="423">
        <v>52</v>
      </c>
      <c r="I156" s="423" t="s">
        <v>346</v>
      </c>
      <c r="J156" s="423" t="s">
        <v>924</v>
      </c>
      <c r="K156" s="424" t="s">
        <v>925</v>
      </c>
      <c r="L156" s="422" t="s">
        <v>1252</v>
      </c>
      <c r="M156" s="425">
        <v>288000</v>
      </c>
      <c r="N156" s="425">
        <f>M156*НДС!$A$1</f>
        <v>334080</v>
      </c>
      <c r="O156" s="426" t="s">
        <v>70</v>
      </c>
      <c r="P156" s="451"/>
      <c r="Q156" s="429" t="s">
        <v>65</v>
      </c>
      <c r="R156" s="423">
        <f>IF(Таблица68[[#This Row],[Столбец2]]="A",1,IF(Таблица68[[#This Row],[Столбец2]]="B",2,IF(Таблица68[[#This Row],[Столбец2]]="C",3)))</f>
        <v>3</v>
      </c>
      <c r="S156" s="452" t="s">
        <v>878</v>
      </c>
      <c r="U156" s="411"/>
    </row>
    <row r="157" spans="1:21" s="453" customFormat="1" ht="36.75" customHeight="1">
      <c r="A157" s="420" t="s">
        <v>353</v>
      </c>
      <c r="B157" s="422" t="s">
        <v>1217</v>
      </c>
      <c r="C157" s="422" t="s">
        <v>1253</v>
      </c>
      <c r="D157" s="423" t="s">
        <v>1219</v>
      </c>
      <c r="E157" s="423" t="str">
        <f>RIGHT(Таблица68[[#This Row],[Полное  наименование]],19)</f>
        <v>SCA 100 D ANG PN 52</v>
      </c>
      <c r="F157" s="423" t="s">
        <v>267</v>
      </c>
      <c r="G157" s="423">
        <v>100</v>
      </c>
      <c r="H157" s="423">
        <v>52</v>
      </c>
      <c r="I157" s="423" t="s">
        <v>346</v>
      </c>
      <c r="J157" s="423" t="s">
        <v>924</v>
      </c>
      <c r="K157" s="424" t="s">
        <v>925</v>
      </c>
      <c r="L157" s="422" t="s">
        <v>1254</v>
      </c>
      <c r="M157" s="425">
        <v>288000</v>
      </c>
      <c r="N157" s="425">
        <f>M157*НДС!$A$1</f>
        <v>334080</v>
      </c>
      <c r="O157" s="426" t="s">
        <v>70</v>
      </c>
      <c r="P157" s="451"/>
      <c r="Q157" s="429" t="s">
        <v>65</v>
      </c>
      <c r="R157" s="423">
        <f>IF(Таблица68[[#This Row],[Столбец2]]="A",1,IF(Таблица68[[#This Row],[Столбец2]]="B",2,IF(Таблица68[[#This Row],[Столбец2]]="C",3)))</f>
        <v>3</v>
      </c>
      <c r="S157" s="452" t="s">
        <v>878</v>
      </c>
      <c r="U157" s="411"/>
    </row>
    <row r="158" spans="1:21" s="453" customFormat="1" ht="25">
      <c r="A158" s="420" t="s">
        <v>335</v>
      </c>
      <c r="B158" s="422" t="s">
        <v>1217</v>
      </c>
      <c r="C158" s="422" t="s">
        <v>1255</v>
      </c>
      <c r="D158" s="423" t="s">
        <v>1219</v>
      </c>
      <c r="E158" s="423" t="str">
        <f>RIGHT(Таблица68[[#This Row],[Полное  наименование]],19)</f>
        <v>SCA 125 D STR PN 52</v>
      </c>
      <c r="F158" s="423" t="s">
        <v>257</v>
      </c>
      <c r="G158" s="423">
        <v>125</v>
      </c>
      <c r="H158" s="423">
        <v>52</v>
      </c>
      <c r="I158" s="423" t="s">
        <v>346</v>
      </c>
      <c r="J158" s="423" t="s">
        <v>924</v>
      </c>
      <c r="K158" s="424" t="s">
        <v>925</v>
      </c>
      <c r="L158" s="422" t="s">
        <v>1256</v>
      </c>
      <c r="M158" s="425">
        <v>594000</v>
      </c>
      <c r="N158" s="425">
        <f>M158*НДС!$A$1</f>
        <v>689040</v>
      </c>
      <c r="O158" s="426" t="s">
        <v>70</v>
      </c>
      <c r="P158" s="451"/>
      <c r="Q158" s="429" t="s">
        <v>65</v>
      </c>
      <c r="R158" s="423">
        <f>IF(Таблица68[[#This Row],[Столбец2]]="A",1,IF(Таблица68[[#This Row],[Столбец2]]="B",2,IF(Таблица68[[#This Row],[Столбец2]]="C",3)))</f>
        <v>3</v>
      </c>
      <c r="S158" s="452" t="s">
        <v>878</v>
      </c>
      <c r="U158" s="411"/>
    </row>
    <row r="159" spans="1:21" s="453" customFormat="1" ht="29.25" customHeight="1">
      <c r="A159" s="420" t="s">
        <v>357</v>
      </c>
      <c r="B159" s="422" t="s">
        <v>1217</v>
      </c>
      <c r="C159" s="422" t="s">
        <v>1257</v>
      </c>
      <c r="D159" s="423" t="s">
        <v>1219</v>
      </c>
      <c r="E159" s="423" t="str">
        <f>RIGHT(Таблица68[[#This Row],[Полное  наименование]],19)</f>
        <v>SCA 125 D ANG PN 52</v>
      </c>
      <c r="F159" s="423" t="s">
        <v>267</v>
      </c>
      <c r="G159" s="423">
        <v>125</v>
      </c>
      <c r="H159" s="423">
        <v>52</v>
      </c>
      <c r="I159" s="423" t="s">
        <v>346</v>
      </c>
      <c r="J159" s="423" t="s">
        <v>924</v>
      </c>
      <c r="K159" s="424" t="s">
        <v>925</v>
      </c>
      <c r="L159" s="422" t="s">
        <v>1258</v>
      </c>
      <c r="M159" s="425">
        <v>594000</v>
      </c>
      <c r="N159" s="425">
        <f>M159*НДС!$A$1</f>
        <v>689040</v>
      </c>
      <c r="O159" s="426" t="s">
        <v>70</v>
      </c>
      <c r="P159" s="451"/>
      <c r="Q159" s="429" t="s">
        <v>65</v>
      </c>
      <c r="R159" s="423">
        <f>IF(Таблица68[[#This Row],[Столбец2]]="A",1,IF(Таблица68[[#This Row],[Столбец2]]="B",2,IF(Таблица68[[#This Row],[Столбец2]]="C",3)))</f>
        <v>3</v>
      </c>
      <c r="S159" s="452" t="s">
        <v>878</v>
      </c>
      <c r="U159" s="411"/>
    </row>
    <row r="160" spans="1:21" s="453" customFormat="1" ht="25">
      <c r="A160" s="420" t="s">
        <v>339</v>
      </c>
      <c r="B160" s="422" t="s">
        <v>1217</v>
      </c>
      <c r="C160" s="422" t="s">
        <v>1259</v>
      </c>
      <c r="D160" s="423" t="s">
        <v>1219</v>
      </c>
      <c r="E160" s="423" t="str">
        <f>RIGHT(Таблица68[[#This Row],[Полное  наименование]],19)</f>
        <v>SCA 150 D STR PN 52</v>
      </c>
      <c r="F160" s="423" t="s">
        <v>257</v>
      </c>
      <c r="G160" s="423">
        <v>150</v>
      </c>
      <c r="H160" s="423">
        <v>52</v>
      </c>
      <c r="I160" s="423" t="s">
        <v>346</v>
      </c>
      <c r="J160" s="423" t="s">
        <v>924</v>
      </c>
      <c r="K160" s="424" t="s">
        <v>925</v>
      </c>
      <c r="L160" s="422" t="s">
        <v>1260</v>
      </c>
      <c r="M160" s="425">
        <v>840000</v>
      </c>
      <c r="N160" s="425">
        <f>M160*НДС!$A$1</f>
        <v>974399.99999999988</v>
      </c>
      <c r="O160" s="426" t="s">
        <v>70</v>
      </c>
      <c r="P160" s="451"/>
      <c r="Q160" s="429" t="s">
        <v>65</v>
      </c>
      <c r="R160" s="423">
        <f>IF(Таблица68[[#This Row],[Столбец2]]="A",1,IF(Таблица68[[#This Row],[Столбец2]]="B",2,IF(Таблица68[[#This Row],[Столбец2]]="C",3)))</f>
        <v>3</v>
      </c>
      <c r="S160" s="452" t="s">
        <v>878</v>
      </c>
      <c r="U160" s="411"/>
    </row>
    <row r="161" spans="1:21" s="453" customFormat="1" ht="28.5" customHeight="1">
      <c r="A161" s="420" t="s">
        <v>361</v>
      </c>
      <c r="B161" s="422" t="s">
        <v>1217</v>
      </c>
      <c r="C161" s="422" t="s">
        <v>1261</v>
      </c>
      <c r="D161" s="423" t="s">
        <v>1219</v>
      </c>
      <c r="E161" s="423" t="str">
        <f>RIGHT(Таблица68[[#This Row],[Полное  наименование]],19)</f>
        <v>SCA 150 D ANG PN 52</v>
      </c>
      <c r="F161" s="423" t="s">
        <v>267</v>
      </c>
      <c r="G161" s="423">
        <v>150</v>
      </c>
      <c r="H161" s="423">
        <v>52</v>
      </c>
      <c r="I161" s="423" t="s">
        <v>346</v>
      </c>
      <c r="J161" s="423" t="s">
        <v>924</v>
      </c>
      <c r="K161" s="424" t="s">
        <v>925</v>
      </c>
      <c r="L161" s="422" t="s">
        <v>1262</v>
      </c>
      <c r="M161" s="425">
        <v>840000</v>
      </c>
      <c r="N161" s="425">
        <f>M161*НДС!$A$1</f>
        <v>974399.99999999988</v>
      </c>
      <c r="O161" s="426" t="s">
        <v>70</v>
      </c>
      <c r="P161" s="451"/>
      <c r="Q161" s="429" t="s">
        <v>65</v>
      </c>
      <c r="R161" s="423">
        <f>IF(Таблица68[[#This Row],[Столбец2]]="A",1,IF(Таблица68[[#This Row],[Столбец2]]="B",2,IF(Таблица68[[#This Row],[Столбец2]]="C",3)))</f>
        <v>3</v>
      </c>
      <c r="S161" s="452" t="s">
        <v>878</v>
      </c>
      <c r="U161" s="411"/>
    </row>
    <row r="162" spans="1:21" ht="25">
      <c r="A162" s="420" t="s">
        <v>333</v>
      </c>
      <c r="B162" s="422" t="s">
        <v>1217</v>
      </c>
      <c r="C162" s="422" t="s">
        <v>1263</v>
      </c>
      <c r="D162" s="423" t="s">
        <v>1219</v>
      </c>
      <c r="E162" s="423" t="str">
        <f>RIGHT(Таблица68[[#This Row],[Полное  наименование]],19)</f>
        <v>SCA 100 D STR PN 40</v>
      </c>
      <c r="F162" s="423" t="s">
        <v>257</v>
      </c>
      <c r="G162" s="423">
        <v>100</v>
      </c>
      <c r="H162" s="423">
        <v>40</v>
      </c>
      <c r="I162" s="423" t="s">
        <v>346</v>
      </c>
      <c r="J162" s="423" t="s">
        <v>924</v>
      </c>
      <c r="K162" s="424" t="s">
        <v>925</v>
      </c>
      <c r="L162" s="422" t="s">
        <v>1264</v>
      </c>
      <c r="M162" s="425">
        <v>252000</v>
      </c>
      <c r="N162" s="425">
        <f>M162*НДС!$A$1</f>
        <v>292320</v>
      </c>
      <c r="O162" s="426" t="s">
        <v>70</v>
      </c>
      <c r="P162" s="422"/>
      <c r="Q162" s="429" t="s">
        <v>65</v>
      </c>
      <c r="R162" s="423">
        <f>IF(Таблица68[[#This Row],[Столбец2]]="A",1,IF(Таблица68[[#This Row],[Столбец2]]="B",2,IF(Таблица68[[#This Row],[Столбец2]]="C",3)))</f>
        <v>3</v>
      </c>
      <c r="S162" s="413" t="s">
        <v>878</v>
      </c>
    </row>
    <row r="163" spans="1:21" ht="18.75" customHeight="1">
      <c r="A163" s="420" t="s">
        <v>355</v>
      </c>
      <c r="B163" s="422" t="s">
        <v>1217</v>
      </c>
      <c r="C163" s="422" t="s">
        <v>1265</v>
      </c>
      <c r="D163" s="423" t="s">
        <v>1219</v>
      </c>
      <c r="E163" s="423" t="str">
        <f>RIGHT(Таблица68[[#This Row],[Полное  наименование]],19)</f>
        <v>SCA 100 D ANG PN 40</v>
      </c>
      <c r="F163" s="423" t="s">
        <v>267</v>
      </c>
      <c r="G163" s="423">
        <v>100</v>
      </c>
      <c r="H163" s="423">
        <v>40</v>
      </c>
      <c r="I163" s="423" t="s">
        <v>346</v>
      </c>
      <c r="J163" s="423" t="s">
        <v>924</v>
      </c>
      <c r="K163" s="424" t="s">
        <v>925</v>
      </c>
      <c r="L163" s="422" t="s">
        <v>1266</v>
      </c>
      <c r="M163" s="425">
        <v>252000</v>
      </c>
      <c r="N163" s="425">
        <f>M163*НДС!$A$1</f>
        <v>292320</v>
      </c>
      <c r="O163" s="426" t="s">
        <v>70</v>
      </c>
      <c r="P163" s="422"/>
      <c r="Q163" s="429" t="s">
        <v>65</v>
      </c>
      <c r="R163" s="423">
        <f>IF(Таблица68[[#This Row],[Столбец2]]="A",1,IF(Таблица68[[#This Row],[Столбец2]]="B",2,IF(Таблица68[[#This Row],[Столбец2]]="C",3)))</f>
        <v>3</v>
      </c>
      <c r="S163" s="413" t="s">
        <v>878</v>
      </c>
    </row>
    <row r="164" spans="1:21" ht="25">
      <c r="A164" s="420" t="s">
        <v>337</v>
      </c>
      <c r="B164" s="422" t="s">
        <v>1217</v>
      </c>
      <c r="C164" s="422" t="s">
        <v>1267</v>
      </c>
      <c r="D164" s="423" t="s">
        <v>1219</v>
      </c>
      <c r="E164" s="423" t="str">
        <f>RIGHT(Таблица68[[#This Row],[Полное  наименование]],19)</f>
        <v>SCA 125 D STR PN 40</v>
      </c>
      <c r="F164" s="423" t="s">
        <v>257</v>
      </c>
      <c r="G164" s="423">
        <v>125</v>
      </c>
      <c r="H164" s="423">
        <v>40</v>
      </c>
      <c r="I164" s="423" t="s">
        <v>346</v>
      </c>
      <c r="J164" s="423" t="s">
        <v>924</v>
      </c>
      <c r="K164" s="424" t="s">
        <v>925</v>
      </c>
      <c r="L164" s="422" t="s">
        <v>1268</v>
      </c>
      <c r="M164" s="425">
        <v>498000</v>
      </c>
      <c r="N164" s="425">
        <f>M164*НДС!$A$1</f>
        <v>577680</v>
      </c>
      <c r="O164" s="426" t="s">
        <v>70</v>
      </c>
      <c r="P164" s="422"/>
      <c r="Q164" s="429" t="s">
        <v>65</v>
      </c>
      <c r="R164" s="423">
        <f>IF(Таблица68[[#This Row],[Столбец2]]="A",1,IF(Таблица68[[#This Row],[Столбец2]]="B",2,IF(Таблица68[[#This Row],[Столбец2]]="C",3)))</f>
        <v>3</v>
      </c>
      <c r="S164" s="413" t="s">
        <v>878</v>
      </c>
    </row>
    <row r="165" spans="1:21" ht="16.5" customHeight="1">
      <c r="A165" s="420" t="s">
        <v>359</v>
      </c>
      <c r="B165" s="422" t="s">
        <v>1217</v>
      </c>
      <c r="C165" s="422" t="s">
        <v>1269</v>
      </c>
      <c r="D165" s="423" t="s">
        <v>1219</v>
      </c>
      <c r="E165" s="423" t="str">
        <f>RIGHT(Таблица68[[#This Row],[Полное  наименование]],19)</f>
        <v>SCA 125 D ANG PN 40</v>
      </c>
      <c r="F165" s="423" t="s">
        <v>267</v>
      </c>
      <c r="G165" s="423">
        <v>125</v>
      </c>
      <c r="H165" s="423">
        <v>40</v>
      </c>
      <c r="I165" s="423" t="s">
        <v>346</v>
      </c>
      <c r="J165" s="423" t="s">
        <v>924</v>
      </c>
      <c r="K165" s="424" t="s">
        <v>925</v>
      </c>
      <c r="L165" s="422" t="s">
        <v>1270</v>
      </c>
      <c r="M165" s="425">
        <v>498000</v>
      </c>
      <c r="N165" s="425">
        <f>M165*НДС!$A$1</f>
        <v>577680</v>
      </c>
      <c r="O165" s="426" t="s">
        <v>70</v>
      </c>
      <c r="P165" s="422"/>
      <c r="Q165" s="429" t="s">
        <v>65</v>
      </c>
      <c r="R165" s="423">
        <f>IF(Таблица68[[#This Row],[Столбец2]]="A",1,IF(Таблица68[[#This Row],[Столбец2]]="B",2,IF(Таблица68[[#This Row],[Столбец2]]="C",3)))</f>
        <v>3</v>
      </c>
      <c r="S165" s="413" t="s">
        <v>878</v>
      </c>
    </row>
    <row r="166" spans="1:21" ht="25">
      <c r="A166" s="420" t="s">
        <v>341</v>
      </c>
      <c r="B166" s="422" t="s">
        <v>1217</v>
      </c>
      <c r="C166" s="422" t="s">
        <v>1271</v>
      </c>
      <c r="D166" s="423" t="s">
        <v>1219</v>
      </c>
      <c r="E166" s="423" t="str">
        <f>RIGHT(Таблица68[[#This Row],[Полное  наименование]],19)</f>
        <v>SCA 150 D STR PN 40</v>
      </c>
      <c r="F166" s="423" t="s">
        <v>257</v>
      </c>
      <c r="G166" s="423">
        <v>150</v>
      </c>
      <c r="H166" s="423">
        <v>40</v>
      </c>
      <c r="I166" s="423" t="s">
        <v>346</v>
      </c>
      <c r="J166" s="423" t="s">
        <v>924</v>
      </c>
      <c r="K166" s="424" t="s">
        <v>925</v>
      </c>
      <c r="L166" s="422" t="s">
        <v>1272</v>
      </c>
      <c r="M166" s="425">
        <v>720000</v>
      </c>
      <c r="N166" s="425">
        <f>M166*НДС!$A$1</f>
        <v>835200</v>
      </c>
      <c r="O166" s="426" t="s">
        <v>70</v>
      </c>
      <c r="P166" s="422"/>
      <c r="Q166" s="429" t="s">
        <v>65</v>
      </c>
      <c r="R166" s="423">
        <f>IF(Таблица68[[#This Row],[Столбец2]]="A",1,IF(Таблица68[[#This Row],[Столбец2]]="B",2,IF(Таблица68[[#This Row],[Столбец2]]="C",3)))</f>
        <v>3</v>
      </c>
      <c r="S166" s="413" t="s">
        <v>878</v>
      </c>
    </row>
    <row r="167" spans="1:21" ht="15.75" customHeight="1">
      <c r="A167" s="420" t="s">
        <v>363</v>
      </c>
      <c r="B167" s="422" t="s">
        <v>1217</v>
      </c>
      <c r="C167" s="422" t="s">
        <v>1273</v>
      </c>
      <c r="D167" s="423" t="s">
        <v>1219</v>
      </c>
      <c r="E167" s="423" t="str">
        <f>RIGHT(Таблица68[[#This Row],[Полное  наименование]],19)</f>
        <v>SCA 150 D ANG PN 40</v>
      </c>
      <c r="F167" s="423" t="s">
        <v>267</v>
      </c>
      <c r="G167" s="423">
        <v>150</v>
      </c>
      <c r="H167" s="423">
        <v>40</v>
      </c>
      <c r="I167" s="423" t="s">
        <v>346</v>
      </c>
      <c r="J167" s="423" t="s">
        <v>924</v>
      </c>
      <c r="K167" s="424" t="s">
        <v>925</v>
      </c>
      <c r="L167" s="422" t="s">
        <v>1274</v>
      </c>
      <c r="M167" s="425">
        <v>720000</v>
      </c>
      <c r="N167" s="425">
        <f>M167*НДС!$A$1</f>
        <v>835200</v>
      </c>
      <c r="O167" s="426" t="s">
        <v>70</v>
      </c>
      <c r="P167" s="422"/>
      <c r="Q167" s="429" t="s">
        <v>65</v>
      </c>
      <c r="R167" s="423">
        <f>IF(Таблица68[[#This Row],[Столбец2]]="A",1,IF(Таблица68[[#This Row],[Столбец2]]="B",2,IF(Таблица68[[#This Row],[Столбец2]]="C",3)))</f>
        <v>3</v>
      </c>
      <c r="S167" s="413" t="s">
        <v>878</v>
      </c>
    </row>
    <row r="168" spans="1:21" ht="25">
      <c r="A168" s="420" t="s">
        <v>374</v>
      </c>
      <c r="B168" s="422" t="s">
        <v>1275</v>
      </c>
      <c r="C168" s="422" t="s">
        <v>1276</v>
      </c>
      <c r="D168" s="423" t="s">
        <v>1277</v>
      </c>
      <c r="E168" s="423" t="str">
        <f>RIGHT(Таблица68[[#This Row],[Полное  наименование]],18)</f>
        <v>FIA 15 D STR PN 52</v>
      </c>
      <c r="F168" s="423" t="s">
        <v>257</v>
      </c>
      <c r="G168" s="423">
        <v>15</v>
      </c>
      <c r="H168" s="423">
        <v>52</v>
      </c>
      <c r="I168" s="423" t="s">
        <v>346</v>
      </c>
      <c r="J168" s="423" t="s">
        <v>924</v>
      </c>
      <c r="K168" s="424" t="s">
        <v>925</v>
      </c>
      <c r="L168" s="422" t="s">
        <v>1278</v>
      </c>
      <c r="M168" s="425">
        <v>27000</v>
      </c>
      <c r="N168" s="425">
        <f>M168*НДС!$A$1</f>
        <v>31319.999999999996</v>
      </c>
      <c r="O168" s="426" t="s">
        <v>70</v>
      </c>
      <c r="P168" s="422"/>
      <c r="Q168" s="427" t="s">
        <v>58</v>
      </c>
      <c r="R168" s="423">
        <f>IF(Таблица68[[#This Row],[Столбец2]]="A",1,IF(Таблица68[[#This Row],[Столбец2]]="B",2,IF(Таблица68[[#This Row],[Столбец2]]="C",3)))</f>
        <v>1</v>
      </c>
      <c r="S168" s="413" t="s">
        <v>875</v>
      </c>
    </row>
    <row r="169" spans="1:21" ht="25">
      <c r="A169" s="420" t="s">
        <v>424</v>
      </c>
      <c r="B169" s="422" t="s">
        <v>1275</v>
      </c>
      <c r="C169" s="422" t="s">
        <v>1279</v>
      </c>
      <c r="D169" s="423" t="s">
        <v>1277</v>
      </c>
      <c r="E169" s="423" t="str">
        <f>RIGHT(Таблица68[[#This Row],[Полное  наименование]],18)</f>
        <v>FIA 15 D ANG PN 52</v>
      </c>
      <c r="F169" s="423" t="s">
        <v>267</v>
      </c>
      <c r="G169" s="423">
        <v>15</v>
      </c>
      <c r="H169" s="423">
        <v>52</v>
      </c>
      <c r="I169" s="423" t="s">
        <v>346</v>
      </c>
      <c r="J169" s="423" t="s">
        <v>924</v>
      </c>
      <c r="K169" s="424" t="s">
        <v>925</v>
      </c>
      <c r="L169" s="422" t="s">
        <v>1280</v>
      </c>
      <c r="M169" s="425">
        <v>27000</v>
      </c>
      <c r="N169" s="425">
        <f>M169*НДС!$A$1</f>
        <v>31319.999999999996</v>
      </c>
      <c r="O169" s="426" t="s">
        <v>70</v>
      </c>
      <c r="P169" s="422"/>
      <c r="Q169" s="429" t="s">
        <v>65</v>
      </c>
      <c r="R169" s="423">
        <f>IF(Таблица68[[#This Row],[Столбец2]]="A",1,IF(Таблица68[[#This Row],[Столбец2]]="B",2,IF(Таблица68[[#This Row],[Столбец2]]="C",3)))</f>
        <v>3</v>
      </c>
      <c r="S169" s="413" t="s">
        <v>878</v>
      </c>
    </row>
    <row r="170" spans="1:21" ht="25">
      <c r="A170" s="420" t="s">
        <v>376</v>
      </c>
      <c r="B170" s="422" t="s">
        <v>1275</v>
      </c>
      <c r="C170" s="422" t="s">
        <v>1281</v>
      </c>
      <c r="D170" s="423" t="s">
        <v>1277</v>
      </c>
      <c r="E170" s="423" t="str">
        <f>RIGHT(Таблица68[[#This Row],[Полное  наименование]],18)</f>
        <v>FIA 20 D STR PN 52</v>
      </c>
      <c r="F170" s="423" t="s">
        <v>257</v>
      </c>
      <c r="G170" s="423">
        <v>20</v>
      </c>
      <c r="H170" s="423">
        <v>52</v>
      </c>
      <c r="I170" s="423" t="s">
        <v>346</v>
      </c>
      <c r="J170" s="423" t="s">
        <v>924</v>
      </c>
      <c r="K170" s="424" t="s">
        <v>925</v>
      </c>
      <c r="L170" s="422" t="s">
        <v>1282</v>
      </c>
      <c r="M170" s="425">
        <v>30600</v>
      </c>
      <c r="N170" s="425">
        <f>M170*НДС!$A$1</f>
        <v>35496</v>
      </c>
      <c r="O170" s="426" t="s">
        <v>70</v>
      </c>
      <c r="P170" s="422"/>
      <c r="Q170" s="427" t="s">
        <v>58</v>
      </c>
      <c r="R170" s="423">
        <f>IF(Таблица68[[#This Row],[Столбец2]]="A",1,IF(Таблица68[[#This Row],[Столбец2]]="B",2,IF(Таблица68[[#This Row],[Столбец2]]="C",3)))</f>
        <v>1</v>
      </c>
      <c r="S170" s="413" t="s">
        <v>875</v>
      </c>
    </row>
    <row r="171" spans="1:21" ht="25">
      <c r="A171" s="420" t="s">
        <v>426</v>
      </c>
      <c r="B171" s="422" t="s">
        <v>1275</v>
      </c>
      <c r="C171" s="422" t="s">
        <v>1283</v>
      </c>
      <c r="D171" s="423" t="s">
        <v>1277</v>
      </c>
      <c r="E171" s="423" t="str">
        <f>RIGHT(Таблица68[[#This Row],[Полное  наименование]],18)</f>
        <v>FIA 20 D ANG PN 52</v>
      </c>
      <c r="F171" s="423" t="s">
        <v>267</v>
      </c>
      <c r="G171" s="423">
        <v>20</v>
      </c>
      <c r="H171" s="423">
        <v>52</v>
      </c>
      <c r="I171" s="423" t="s">
        <v>346</v>
      </c>
      <c r="J171" s="423" t="s">
        <v>924</v>
      </c>
      <c r="K171" s="424" t="s">
        <v>925</v>
      </c>
      <c r="L171" s="422" t="s">
        <v>1284</v>
      </c>
      <c r="M171" s="425">
        <v>30600</v>
      </c>
      <c r="N171" s="425">
        <f>M171*НДС!$A$1</f>
        <v>35496</v>
      </c>
      <c r="O171" s="426" t="s">
        <v>70</v>
      </c>
      <c r="P171" s="422"/>
      <c r="Q171" s="429" t="s">
        <v>65</v>
      </c>
      <c r="R171" s="423">
        <f>IF(Таблица68[[#This Row],[Столбец2]]="A",1,IF(Таблица68[[#This Row],[Столбец2]]="B",2,IF(Таблица68[[#This Row],[Столбец2]]="C",3)))</f>
        <v>3</v>
      </c>
      <c r="S171" s="413" t="s">
        <v>878</v>
      </c>
    </row>
    <row r="172" spans="1:21" ht="25">
      <c r="A172" s="420" t="s">
        <v>378</v>
      </c>
      <c r="B172" s="422" t="s">
        <v>1275</v>
      </c>
      <c r="C172" s="422" t="s">
        <v>1285</v>
      </c>
      <c r="D172" s="423" t="s">
        <v>1277</v>
      </c>
      <c r="E172" s="423" t="str">
        <f>RIGHT(Таблица68[[#This Row],[Полное  наименование]],18)</f>
        <v>FIA 25 D STR PN 52</v>
      </c>
      <c r="F172" s="423" t="s">
        <v>257</v>
      </c>
      <c r="G172" s="423">
        <v>25</v>
      </c>
      <c r="H172" s="423">
        <v>52</v>
      </c>
      <c r="I172" s="423" t="s">
        <v>346</v>
      </c>
      <c r="J172" s="423" t="s">
        <v>924</v>
      </c>
      <c r="K172" s="424" t="s">
        <v>925</v>
      </c>
      <c r="L172" s="422" t="s">
        <v>1286</v>
      </c>
      <c r="M172" s="425">
        <v>37200</v>
      </c>
      <c r="N172" s="425">
        <f>M172*НДС!$A$1</f>
        <v>43152</v>
      </c>
      <c r="O172" s="426" t="s">
        <v>70</v>
      </c>
      <c r="P172" s="422"/>
      <c r="Q172" s="427" t="s">
        <v>58</v>
      </c>
      <c r="R172" s="423">
        <f>IF(Таблица68[[#This Row],[Столбец2]]="A",1,IF(Таблица68[[#This Row],[Столбец2]]="B",2,IF(Таблица68[[#This Row],[Столбец2]]="C",3)))</f>
        <v>1</v>
      </c>
      <c r="S172" s="413" t="s">
        <v>875</v>
      </c>
    </row>
    <row r="173" spans="1:21" ht="25">
      <c r="A173" s="420" t="s">
        <v>428</v>
      </c>
      <c r="B173" s="422" t="s">
        <v>1275</v>
      </c>
      <c r="C173" s="422" t="s">
        <v>1287</v>
      </c>
      <c r="D173" s="423" t="s">
        <v>1277</v>
      </c>
      <c r="E173" s="423" t="str">
        <f>RIGHT(Таблица68[[#This Row],[Полное  наименование]],18)</f>
        <v>FIA 25 D ANG PN 52</v>
      </c>
      <c r="F173" s="423" t="s">
        <v>267</v>
      </c>
      <c r="G173" s="423">
        <v>25</v>
      </c>
      <c r="H173" s="423">
        <v>52</v>
      </c>
      <c r="I173" s="423" t="s">
        <v>346</v>
      </c>
      <c r="J173" s="423" t="s">
        <v>924</v>
      </c>
      <c r="K173" s="424" t="s">
        <v>925</v>
      </c>
      <c r="L173" s="422" t="s">
        <v>1288</v>
      </c>
      <c r="M173" s="425">
        <v>37200</v>
      </c>
      <c r="N173" s="425">
        <f>M173*НДС!$A$1</f>
        <v>43152</v>
      </c>
      <c r="O173" s="426" t="s">
        <v>70</v>
      </c>
      <c r="P173" s="422"/>
      <c r="Q173" s="429" t="s">
        <v>65</v>
      </c>
      <c r="R173" s="423">
        <f>IF(Таблица68[[#This Row],[Столбец2]]="A",1,IF(Таблица68[[#This Row],[Столбец2]]="B",2,IF(Таблица68[[#This Row],[Столбец2]]="C",3)))</f>
        <v>3</v>
      </c>
      <c r="S173" s="413" t="s">
        <v>878</v>
      </c>
    </row>
    <row r="174" spans="1:21" ht="16.5">
      <c r="A174" s="420" t="s">
        <v>380</v>
      </c>
      <c r="B174" s="422" t="s">
        <v>1275</v>
      </c>
      <c r="C174" s="422" t="s">
        <v>1289</v>
      </c>
      <c r="D174" s="423" t="s">
        <v>1277</v>
      </c>
      <c r="E174" s="423" t="str">
        <f>RIGHT(Таблица68[[#This Row],[Полное  наименование]],18)</f>
        <v>FIA 32 D STR PN 52</v>
      </c>
      <c r="F174" s="423" t="s">
        <v>257</v>
      </c>
      <c r="G174" s="423">
        <v>32</v>
      </c>
      <c r="H174" s="423">
        <v>52</v>
      </c>
      <c r="I174" s="423" t="s">
        <v>346</v>
      </c>
      <c r="J174" s="423" t="s">
        <v>924</v>
      </c>
      <c r="K174" s="424" t="s">
        <v>925</v>
      </c>
      <c r="L174" s="422" t="s">
        <v>1290</v>
      </c>
      <c r="M174" s="425">
        <v>48000</v>
      </c>
      <c r="N174" s="425">
        <f>M174*НДС!$A$1</f>
        <v>55679.999999999993</v>
      </c>
      <c r="O174" s="426" t="s">
        <v>70</v>
      </c>
      <c r="P174" s="422"/>
      <c r="Q174" s="450" t="s">
        <v>61</v>
      </c>
      <c r="R174" s="423">
        <f>IF(Таблица68[[#This Row],[Столбец2]]="A",1,IF(Таблица68[[#This Row],[Столбец2]]="B",2,IF(Таблица68[[#This Row],[Столбец2]]="C",3)))</f>
        <v>2</v>
      </c>
      <c r="S174" s="413" t="s">
        <v>882</v>
      </c>
    </row>
    <row r="175" spans="1:21" ht="25">
      <c r="A175" s="420" t="s">
        <v>430</v>
      </c>
      <c r="B175" s="422" t="s">
        <v>1275</v>
      </c>
      <c r="C175" s="422" t="s">
        <v>1291</v>
      </c>
      <c r="D175" s="423" t="s">
        <v>1277</v>
      </c>
      <c r="E175" s="423" t="str">
        <f>RIGHT(Таблица68[[#This Row],[Полное  наименование]],18)</f>
        <v>FIA 32 D ANG PN 52</v>
      </c>
      <c r="F175" s="423" t="s">
        <v>267</v>
      </c>
      <c r="G175" s="423">
        <v>32</v>
      </c>
      <c r="H175" s="423">
        <v>52</v>
      </c>
      <c r="I175" s="423" t="s">
        <v>346</v>
      </c>
      <c r="J175" s="423" t="s">
        <v>924</v>
      </c>
      <c r="K175" s="424" t="s">
        <v>925</v>
      </c>
      <c r="L175" s="422" t="s">
        <v>1292</v>
      </c>
      <c r="M175" s="425">
        <v>48000</v>
      </c>
      <c r="N175" s="425">
        <f>M175*НДС!$A$1</f>
        <v>55679.999999999993</v>
      </c>
      <c r="O175" s="426" t="s">
        <v>70</v>
      </c>
      <c r="P175" s="422"/>
      <c r="Q175" s="429" t="s">
        <v>65</v>
      </c>
      <c r="R175" s="423">
        <f>IF(Таблица68[[#This Row],[Столбец2]]="A",1,IF(Таблица68[[#This Row],[Столбец2]]="B",2,IF(Таблица68[[#This Row],[Столбец2]]="C",3)))</f>
        <v>3</v>
      </c>
      <c r="S175" s="413" t="s">
        <v>878</v>
      </c>
    </row>
    <row r="176" spans="1:21" ht="25">
      <c r="A176" s="420" t="s">
        <v>382</v>
      </c>
      <c r="B176" s="422" t="s">
        <v>1275</v>
      </c>
      <c r="C176" s="422" t="s">
        <v>1293</v>
      </c>
      <c r="D176" s="423" t="s">
        <v>1277</v>
      </c>
      <c r="E176" s="423" t="str">
        <f>RIGHT(Таблица68[[#This Row],[Полное  наименование]],18)</f>
        <v>FIA 40 D STR PN 52</v>
      </c>
      <c r="F176" s="423" t="s">
        <v>257</v>
      </c>
      <c r="G176" s="423">
        <v>40</v>
      </c>
      <c r="H176" s="423">
        <v>52</v>
      </c>
      <c r="I176" s="423" t="s">
        <v>346</v>
      </c>
      <c r="J176" s="423" t="s">
        <v>924</v>
      </c>
      <c r="K176" s="424" t="s">
        <v>925</v>
      </c>
      <c r="L176" s="422" t="s">
        <v>1294</v>
      </c>
      <c r="M176" s="425">
        <v>63600</v>
      </c>
      <c r="N176" s="425">
        <f>M176*НДС!$A$1</f>
        <v>73776</v>
      </c>
      <c r="O176" s="426" t="s">
        <v>70</v>
      </c>
      <c r="P176" s="422"/>
      <c r="Q176" s="427" t="s">
        <v>58</v>
      </c>
      <c r="R176" s="423">
        <f>IF(Таблица68[[#This Row],[Столбец2]]="A",1,IF(Таблица68[[#This Row],[Столбец2]]="B",2,IF(Таблица68[[#This Row],[Столбец2]]="C",3)))</f>
        <v>1</v>
      </c>
      <c r="S176" s="413" t="s">
        <v>875</v>
      </c>
    </row>
    <row r="177" spans="1:21" ht="25">
      <c r="A177" s="420" t="s">
        <v>432</v>
      </c>
      <c r="B177" s="422" t="s">
        <v>1275</v>
      </c>
      <c r="C177" s="422" t="s">
        <v>1295</v>
      </c>
      <c r="D177" s="423" t="s">
        <v>1277</v>
      </c>
      <c r="E177" s="423" t="str">
        <f>RIGHT(Таблица68[[#This Row],[Полное  наименование]],18)</f>
        <v>FIA 40 D ANG PN 52</v>
      </c>
      <c r="F177" s="423" t="s">
        <v>267</v>
      </c>
      <c r="G177" s="423">
        <v>40</v>
      </c>
      <c r="H177" s="423">
        <v>52</v>
      </c>
      <c r="I177" s="423" t="s">
        <v>346</v>
      </c>
      <c r="J177" s="423" t="s">
        <v>924</v>
      </c>
      <c r="K177" s="424" t="s">
        <v>925</v>
      </c>
      <c r="L177" s="422" t="s">
        <v>1296</v>
      </c>
      <c r="M177" s="425">
        <v>63600</v>
      </c>
      <c r="N177" s="425">
        <f>M177*НДС!$A$1</f>
        <v>73776</v>
      </c>
      <c r="O177" s="426" t="s">
        <v>70</v>
      </c>
      <c r="P177" s="422"/>
      <c r="Q177" s="454" t="s">
        <v>65</v>
      </c>
      <c r="R177" s="423">
        <f>IF(Таблица68[[#This Row],[Столбец2]]="A",1,IF(Таблица68[[#This Row],[Столбец2]]="B",2,IF(Таблица68[[#This Row],[Столбец2]]="C",3)))</f>
        <v>3</v>
      </c>
      <c r="S177" s="413" t="s">
        <v>878</v>
      </c>
    </row>
    <row r="178" spans="1:21" ht="16.5">
      <c r="A178" s="420" t="s">
        <v>384</v>
      </c>
      <c r="B178" s="422" t="s">
        <v>1275</v>
      </c>
      <c r="C178" s="422" t="s">
        <v>1297</v>
      </c>
      <c r="D178" s="423" t="s">
        <v>1277</v>
      </c>
      <c r="E178" s="423" t="str">
        <f>RIGHT(Таблица68[[#This Row],[Полное  наименование]],18)</f>
        <v>FIA 50 D STR PN 52</v>
      </c>
      <c r="F178" s="423" t="s">
        <v>257</v>
      </c>
      <c r="G178" s="423">
        <v>50</v>
      </c>
      <c r="H178" s="423">
        <v>52</v>
      </c>
      <c r="I178" s="423" t="s">
        <v>346</v>
      </c>
      <c r="J178" s="423" t="s">
        <v>924</v>
      </c>
      <c r="K178" s="424" t="s">
        <v>925</v>
      </c>
      <c r="L178" s="422" t="s">
        <v>1298</v>
      </c>
      <c r="M178" s="425">
        <v>78000</v>
      </c>
      <c r="N178" s="425">
        <f>M178*НДС!$A$1</f>
        <v>90480</v>
      </c>
      <c r="O178" s="426" t="s">
        <v>70</v>
      </c>
      <c r="P178" s="422"/>
      <c r="Q178" s="450" t="s">
        <v>61</v>
      </c>
      <c r="R178" s="423">
        <f>IF(Таблица68[[#This Row],[Столбец2]]="A",1,IF(Таблица68[[#This Row],[Столбец2]]="B",2,IF(Таблица68[[#This Row],[Столбец2]]="C",3)))</f>
        <v>2</v>
      </c>
      <c r="S178" s="413" t="s">
        <v>882</v>
      </c>
    </row>
    <row r="179" spans="1:21" ht="25">
      <c r="A179" s="420" t="s">
        <v>434</v>
      </c>
      <c r="B179" s="422" t="s">
        <v>1275</v>
      </c>
      <c r="C179" s="422" t="s">
        <v>1299</v>
      </c>
      <c r="D179" s="423" t="s">
        <v>1277</v>
      </c>
      <c r="E179" s="423" t="str">
        <f>RIGHT(Таблица68[[#This Row],[Полное  наименование]],18)</f>
        <v>FIA 50 D ANG PN 52</v>
      </c>
      <c r="F179" s="423" t="s">
        <v>267</v>
      </c>
      <c r="G179" s="423">
        <v>50</v>
      </c>
      <c r="H179" s="423">
        <v>52</v>
      </c>
      <c r="I179" s="423" t="s">
        <v>346</v>
      </c>
      <c r="J179" s="423" t="s">
        <v>924</v>
      </c>
      <c r="K179" s="424" t="s">
        <v>925</v>
      </c>
      <c r="L179" s="422" t="s">
        <v>1300</v>
      </c>
      <c r="M179" s="425">
        <v>78000</v>
      </c>
      <c r="N179" s="425">
        <f>M179*НДС!$A$1</f>
        <v>90480</v>
      </c>
      <c r="O179" s="426" t="s">
        <v>70</v>
      </c>
      <c r="P179" s="422"/>
      <c r="Q179" s="429" t="s">
        <v>65</v>
      </c>
      <c r="R179" s="423">
        <f>IF(Таблица68[[#This Row],[Столбец2]]="A",1,IF(Таблица68[[#This Row],[Столбец2]]="B",2,IF(Таблица68[[#This Row],[Столбец2]]="C",3)))</f>
        <v>3</v>
      </c>
      <c r="S179" s="413" t="s">
        <v>878</v>
      </c>
    </row>
    <row r="180" spans="1:21" ht="16.5">
      <c r="A180" s="420" t="s">
        <v>386</v>
      </c>
      <c r="B180" s="422" t="s">
        <v>1275</v>
      </c>
      <c r="C180" s="422" t="s">
        <v>1301</v>
      </c>
      <c r="D180" s="423" t="s">
        <v>1277</v>
      </c>
      <c r="E180" s="423" t="str">
        <f>RIGHT(Таблица68[[#This Row],[Полное  наименование]],18)</f>
        <v>FIA 65 D STR PN 52</v>
      </c>
      <c r="F180" s="423" t="s">
        <v>257</v>
      </c>
      <c r="G180" s="423">
        <v>65</v>
      </c>
      <c r="H180" s="423">
        <v>52</v>
      </c>
      <c r="I180" s="423" t="s">
        <v>346</v>
      </c>
      <c r="J180" s="423" t="s">
        <v>924</v>
      </c>
      <c r="K180" s="424" t="s">
        <v>925</v>
      </c>
      <c r="L180" s="422" t="s">
        <v>1302</v>
      </c>
      <c r="M180" s="425">
        <v>105600</v>
      </c>
      <c r="N180" s="425">
        <f>M180*НДС!$A$1</f>
        <v>122495.99999999999</v>
      </c>
      <c r="O180" s="426" t="s">
        <v>70</v>
      </c>
      <c r="P180" s="422"/>
      <c r="Q180" s="450" t="s">
        <v>61</v>
      </c>
      <c r="R180" s="423">
        <f>IF(Таблица68[[#This Row],[Столбец2]]="A",1,IF(Таблица68[[#This Row],[Столбец2]]="B",2,IF(Таблица68[[#This Row],[Столбец2]]="C",3)))</f>
        <v>2</v>
      </c>
      <c r="S180" s="413" t="s">
        <v>882</v>
      </c>
    </row>
    <row r="181" spans="1:21" ht="16.5">
      <c r="A181" s="420" t="s">
        <v>436</v>
      </c>
      <c r="B181" s="422" t="s">
        <v>1275</v>
      </c>
      <c r="C181" s="422" t="s">
        <v>1303</v>
      </c>
      <c r="D181" s="423" t="s">
        <v>1277</v>
      </c>
      <c r="E181" s="423" t="str">
        <f>RIGHT(Таблица68[[#This Row],[Полное  наименование]],18)</f>
        <v>FIA 65 D ANG PN 52</v>
      </c>
      <c r="F181" s="423" t="s">
        <v>267</v>
      </c>
      <c r="G181" s="423">
        <v>65</v>
      </c>
      <c r="H181" s="423">
        <v>52</v>
      </c>
      <c r="I181" s="423" t="s">
        <v>346</v>
      </c>
      <c r="J181" s="423" t="s">
        <v>924</v>
      </c>
      <c r="K181" s="424" t="s">
        <v>925</v>
      </c>
      <c r="L181" s="422" t="s">
        <v>1304</v>
      </c>
      <c r="M181" s="425">
        <v>105600</v>
      </c>
      <c r="N181" s="425">
        <f>M181*НДС!$A$1</f>
        <v>122495.99999999999</v>
      </c>
      <c r="O181" s="426" t="s">
        <v>70</v>
      </c>
      <c r="P181" s="422"/>
      <c r="Q181" s="450" t="s">
        <v>61</v>
      </c>
      <c r="R181" s="423">
        <f>IF(Таблица68[[#This Row],[Столбец2]]="A",1,IF(Таблица68[[#This Row],[Столбец2]]="B",2,IF(Таблица68[[#This Row],[Столбец2]]="C",3)))</f>
        <v>2</v>
      </c>
      <c r="S181" s="413" t="s">
        <v>882</v>
      </c>
    </row>
    <row r="182" spans="1:21" ht="25">
      <c r="A182" s="420" t="s">
        <v>389</v>
      </c>
      <c r="B182" s="422" t="s">
        <v>1275</v>
      </c>
      <c r="C182" s="422" t="s">
        <v>1305</v>
      </c>
      <c r="D182" s="423" t="s">
        <v>1277</v>
      </c>
      <c r="E182" s="423" t="str">
        <f>RIGHT(Таблица68[[#This Row],[Полное  наименование]],18)</f>
        <v>FIA 80 D STR PN 52</v>
      </c>
      <c r="F182" s="423" t="s">
        <v>257</v>
      </c>
      <c r="G182" s="423">
        <v>80</v>
      </c>
      <c r="H182" s="423">
        <v>52</v>
      </c>
      <c r="I182" s="423" t="s">
        <v>346</v>
      </c>
      <c r="J182" s="423" t="s">
        <v>924</v>
      </c>
      <c r="K182" s="424" t="s">
        <v>925</v>
      </c>
      <c r="L182" s="422" t="s">
        <v>1306</v>
      </c>
      <c r="M182" s="425">
        <v>126000</v>
      </c>
      <c r="N182" s="425">
        <f>M182*НДС!$A$1</f>
        <v>146160</v>
      </c>
      <c r="O182" s="426" t="s">
        <v>70</v>
      </c>
      <c r="P182" s="422"/>
      <c r="Q182" s="427" t="s">
        <v>58</v>
      </c>
      <c r="R182" s="423">
        <f>IF(Таблица68[[#This Row],[Столбец2]]="A",1,IF(Таблица68[[#This Row],[Столбец2]]="B",2,IF(Таблица68[[#This Row],[Столбец2]]="C",3)))</f>
        <v>1</v>
      </c>
      <c r="S182" s="413" t="s">
        <v>875</v>
      </c>
    </row>
    <row r="183" spans="1:21" ht="16.5">
      <c r="A183" s="420" t="s">
        <v>437</v>
      </c>
      <c r="B183" s="422" t="s">
        <v>1275</v>
      </c>
      <c r="C183" s="422" t="s">
        <v>1307</v>
      </c>
      <c r="D183" s="423" t="s">
        <v>1277</v>
      </c>
      <c r="E183" s="423" t="str">
        <f>RIGHT(Таблица68[[#This Row],[Полное  наименование]],18)</f>
        <v>FIA 80 D ANG PN 52</v>
      </c>
      <c r="F183" s="423" t="s">
        <v>267</v>
      </c>
      <c r="G183" s="423">
        <v>80</v>
      </c>
      <c r="H183" s="423">
        <v>52</v>
      </c>
      <c r="I183" s="423" t="s">
        <v>346</v>
      </c>
      <c r="J183" s="423" t="s">
        <v>924</v>
      </c>
      <c r="K183" s="424" t="s">
        <v>925</v>
      </c>
      <c r="L183" s="422" t="s">
        <v>1308</v>
      </c>
      <c r="M183" s="425">
        <v>126000</v>
      </c>
      <c r="N183" s="425">
        <f>M183*НДС!$A$1</f>
        <v>146160</v>
      </c>
      <c r="O183" s="426" t="s">
        <v>70</v>
      </c>
      <c r="P183" s="422"/>
      <c r="Q183" s="450" t="s">
        <v>61</v>
      </c>
      <c r="R183" s="423">
        <f>IF(Таблица68[[#This Row],[Столбец2]]="A",1,IF(Таблица68[[#This Row],[Столбец2]]="B",2,IF(Таблица68[[#This Row],[Столбец2]]="C",3)))</f>
        <v>2</v>
      </c>
      <c r="S183" s="413" t="s">
        <v>882</v>
      </c>
    </row>
    <row r="184" spans="1:21" s="453" customFormat="1" ht="25">
      <c r="A184" s="420" t="s">
        <v>391</v>
      </c>
      <c r="B184" s="422" t="s">
        <v>1275</v>
      </c>
      <c r="C184" s="422" t="s">
        <v>1309</v>
      </c>
      <c r="D184" s="423" t="s">
        <v>1277</v>
      </c>
      <c r="E184" s="423" t="str">
        <f>RIGHT(Таблица68[[#This Row],[Полное  наименование]],19)</f>
        <v>FIA 100 D STR PN 52</v>
      </c>
      <c r="F184" s="423" t="s">
        <v>257</v>
      </c>
      <c r="G184" s="423">
        <v>100</v>
      </c>
      <c r="H184" s="423">
        <v>52</v>
      </c>
      <c r="I184" s="423" t="s">
        <v>346</v>
      </c>
      <c r="J184" s="423" t="s">
        <v>924</v>
      </c>
      <c r="K184" s="424" t="s">
        <v>925</v>
      </c>
      <c r="L184" s="422" t="s">
        <v>1310</v>
      </c>
      <c r="M184" s="425">
        <v>240000</v>
      </c>
      <c r="N184" s="425">
        <f>M184*НДС!$A$1</f>
        <v>278400</v>
      </c>
      <c r="O184" s="426" t="s">
        <v>70</v>
      </c>
      <c r="P184" s="451"/>
      <c r="Q184" s="429" t="s">
        <v>65</v>
      </c>
      <c r="R184" s="423">
        <f>IF(Таблица68[[#This Row],[Столбец2]]="A",1,IF(Таблица68[[#This Row],[Столбец2]]="B",2,IF(Таблица68[[#This Row],[Столбец2]]="C",3)))</f>
        <v>3</v>
      </c>
      <c r="S184" s="452" t="s">
        <v>878</v>
      </c>
      <c r="U184" s="411"/>
    </row>
    <row r="185" spans="1:21" s="453" customFormat="1" ht="16.5">
      <c r="A185" s="420" t="s">
        <v>438</v>
      </c>
      <c r="B185" s="422" t="s">
        <v>1275</v>
      </c>
      <c r="C185" s="422" t="s">
        <v>1311</v>
      </c>
      <c r="D185" s="423" t="s">
        <v>1277</v>
      </c>
      <c r="E185" s="423" t="str">
        <f>RIGHT(Таблица68[[#This Row],[Полное  наименование]],19)</f>
        <v>FIA 100 D ANG PN 52</v>
      </c>
      <c r="F185" s="423" t="s">
        <v>267</v>
      </c>
      <c r="G185" s="423">
        <v>100</v>
      </c>
      <c r="H185" s="423">
        <v>52</v>
      </c>
      <c r="I185" s="423" t="s">
        <v>346</v>
      </c>
      <c r="J185" s="423" t="s">
        <v>924</v>
      </c>
      <c r="K185" s="424" t="s">
        <v>925</v>
      </c>
      <c r="L185" s="422" t="s">
        <v>1312</v>
      </c>
      <c r="M185" s="425">
        <v>240000</v>
      </c>
      <c r="N185" s="425">
        <f>M185*НДС!$A$1</f>
        <v>278400</v>
      </c>
      <c r="O185" s="426" t="s">
        <v>70</v>
      </c>
      <c r="P185" s="451"/>
      <c r="Q185" s="450" t="s">
        <v>61</v>
      </c>
      <c r="R185" s="423">
        <f>IF(Таблица68[[#This Row],[Столбец2]]="A",1,IF(Таблица68[[#This Row],[Столбец2]]="B",2,IF(Таблица68[[#This Row],[Столбец2]]="C",3)))</f>
        <v>2</v>
      </c>
      <c r="S185" s="452" t="s">
        <v>882</v>
      </c>
      <c r="U185" s="411"/>
    </row>
    <row r="186" spans="1:21" s="453" customFormat="1" ht="25">
      <c r="A186" s="420" t="s">
        <v>399</v>
      </c>
      <c r="B186" s="422" t="s">
        <v>1275</v>
      </c>
      <c r="C186" s="422" t="s">
        <v>1313</v>
      </c>
      <c r="D186" s="423" t="s">
        <v>1277</v>
      </c>
      <c r="E186" s="423" t="str">
        <f>RIGHT(Таблица68[[#This Row],[Полное  наименование]],19)</f>
        <v>FIA 125 D STR PN 52</v>
      </c>
      <c r="F186" s="423" t="s">
        <v>257</v>
      </c>
      <c r="G186" s="423">
        <v>125</v>
      </c>
      <c r="H186" s="423">
        <v>52</v>
      </c>
      <c r="I186" s="423" t="s">
        <v>346</v>
      </c>
      <c r="J186" s="423" t="s">
        <v>924</v>
      </c>
      <c r="K186" s="424" t="s">
        <v>925</v>
      </c>
      <c r="L186" s="422" t="s">
        <v>1314</v>
      </c>
      <c r="M186" s="425">
        <v>435000</v>
      </c>
      <c r="N186" s="425">
        <f>M186*НДС!$A$1</f>
        <v>504599.99999999994</v>
      </c>
      <c r="O186" s="426" t="s">
        <v>70</v>
      </c>
      <c r="P186" s="451"/>
      <c r="Q186" s="454" t="s">
        <v>65</v>
      </c>
      <c r="R186" s="423">
        <f>IF(Таблица68[[#This Row],[Столбец2]]="A",1,IF(Таблица68[[#This Row],[Столбец2]]="B",2,IF(Таблица68[[#This Row],[Столбец2]]="C",3)))</f>
        <v>3</v>
      </c>
      <c r="S186" s="452" t="s">
        <v>878</v>
      </c>
      <c r="U186" s="411"/>
    </row>
    <row r="187" spans="1:21" s="453" customFormat="1" ht="25">
      <c r="A187" s="420" t="s">
        <v>442</v>
      </c>
      <c r="B187" s="422" t="s">
        <v>1275</v>
      </c>
      <c r="C187" s="422" t="s">
        <v>1315</v>
      </c>
      <c r="D187" s="423" t="s">
        <v>1277</v>
      </c>
      <c r="E187" s="423" t="str">
        <f>RIGHT(Таблица68[[#This Row],[Полное  наименование]],19)</f>
        <v>FIA 125 D ANG PN 52</v>
      </c>
      <c r="F187" s="423" t="s">
        <v>267</v>
      </c>
      <c r="G187" s="423">
        <v>125</v>
      </c>
      <c r="H187" s="423">
        <v>52</v>
      </c>
      <c r="I187" s="423" t="s">
        <v>346</v>
      </c>
      <c r="J187" s="423" t="s">
        <v>924</v>
      </c>
      <c r="K187" s="424" t="s">
        <v>925</v>
      </c>
      <c r="L187" s="422" t="s">
        <v>1316</v>
      </c>
      <c r="M187" s="425">
        <v>435000</v>
      </c>
      <c r="N187" s="425">
        <f>M187*НДС!$A$1</f>
        <v>504599.99999999994</v>
      </c>
      <c r="O187" s="426" t="s">
        <v>70</v>
      </c>
      <c r="P187" s="451"/>
      <c r="Q187" s="454" t="s">
        <v>65</v>
      </c>
      <c r="R187" s="423">
        <f>IF(Таблица68[[#This Row],[Столбец2]]="A",1,IF(Таблица68[[#This Row],[Столбец2]]="B",2,IF(Таблица68[[#This Row],[Столбец2]]="C",3)))</f>
        <v>3</v>
      </c>
      <c r="S187" s="452" t="s">
        <v>878</v>
      </c>
      <c r="U187" s="411"/>
    </row>
    <row r="188" spans="1:21" s="453" customFormat="1" ht="25">
      <c r="A188" s="420" t="s">
        <v>407</v>
      </c>
      <c r="B188" s="422" t="s">
        <v>1275</v>
      </c>
      <c r="C188" s="422" t="s">
        <v>1317</v>
      </c>
      <c r="D188" s="423" t="s">
        <v>1277</v>
      </c>
      <c r="E188" s="423" t="str">
        <f>RIGHT(Таблица68[[#This Row],[Полное  наименование]],19)</f>
        <v>FIA 150 D STR PN 52</v>
      </c>
      <c r="F188" s="423" t="s">
        <v>257</v>
      </c>
      <c r="G188" s="423">
        <v>150</v>
      </c>
      <c r="H188" s="423">
        <v>52</v>
      </c>
      <c r="I188" s="423" t="s">
        <v>346</v>
      </c>
      <c r="J188" s="423" t="s">
        <v>924</v>
      </c>
      <c r="K188" s="424" t="s">
        <v>925</v>
      </c>
      <c r="L188" s="422" t="s">
        <v>1318</v>
      </c>
      <c r="M188" s="425">
        <v>594000</v>
      </c>
      <c r="N188" s="425">
        <f>M188*НДС!$A$1</f>
        <v>689040</v>
      </c>
      <c r="O188" s="426" t="s">
        <v>70</v>
      </c>
      <c r="P188" s="451"/>
      <c r="Q188" s="429" t="s">
        <v>65</v>
      </c>
      <c r="R188" s="423">
        <f>IF(Таблица68[[#This Row],[Столбец2]]="A",1,IF(Таблица68[[#This Row],[Столбец2]]="B",2,IF(Таблица68[[#This Row],[Столбец2]]="C",3)))</f>
        <v>3</v>
      </c>
      <c r="S188" s="452" t="s">
        <v>878</v>
      </c>
      <c r="U188" s="411"/>
    </row>
    <row r="189" spans="1:21" s="453" customFormat="1" ht="25">
      <c r="A189" s="420" t="s">
        <v>446</v>
      </c>
      <c r="B189" s="422" t="s">
        <v>1275</v>
      </c>
      <c r="C189" s="422" t="s">
        <v>1319</v>
      </c>
      <c r="D189" s="423" t="s">
        <v>1277</v>
      </c>
      <c r="E189" s="423" t="str">
        <f>RIGHT(Таблица68[[#This Row],[Полное  наименование]],19)</f>
        <v>FIA 150 D ANG PN 52</v>
      </c>
      <c r="F189" s="423" t="s">
        <v>267</v>
      </c>
      <c r="G189" s="423">
        <v>150</v>
      </c>
      <c r="H189" s="423">
        <v>52</v>
      </c>
      <c r="I189" s="423" t="s">
        <v>346</v>
      </c>
      <c r="J189" s="423" t="s">
        <v>924</v>
      </c>
      <c r="K189" s="424" t="s">
        <v>925</v>
      </c>
      <c r="L189" s="422" t="s">
        <v>1320</v>
      </c>
      <c r="M189" s="425">
        <v>594000</v>
      </c>
      <c r="N189" s="425">
        <f>M189*НДС!$A$1</f>
        <v>689040</v>
      </c>
      <c r="O189" s="426" t="s">
        <v>70</v>
      </c>
      <c r="P189" s="451"/>
      <c r="Q189" s="429" t="s">
        <v>65</v>
      </c>
      <c r="R189" s="423">
        <f>IF(Таблица68[[#This Row],[Столбец2]]="A",1,IF(Таблица68[[#This Row],[Столбец2]]="B",2,IF(Таблица68[[#This Row],[Столбец2]]="C",3)))</f>
        <v>3</v>
      </c>
      <c r="S189" s="452" t="s">
        <v>878</v>
      </c>
      <c r="U189" s="411"/>
    </row>
    <row r="190" spans="1:21" ht="16.5">
      <c r="A190" s="420" t="s">
        <v>395</v>
      </c>
      <c r="B190" s="422" t="s">
        <v>1275</v>
      </c>
      <c r="C190" s="422" t="s">
        <v>1321</v>
      </c>
      <c r="D190" s="423" t="s">
        <v>1277</v>
      </c>
      <c r="E190" s="423" t="str">
        <f>RIGHT(Таблица68[[#This Row],[Полное  наименование]],19)</f>
        <v>FIA 100 D STR PN 40</v>
      </c>
      <c r="F190" s="423" t="s">
        <v>257</v>
      </c>
      <c r="G190" s="423">
        <v>100</v>
      </c>
      <c r="H190" s="423">
        <v>40</v>
      </c>
      <c r="I190" s="423" t="s">
        <v>346</v>
      </c>
      <c r="J190" s="423" t="s">
        <v>924</v>
      </c>
      <c r="K190" s="424" t="s">
        <v>925</v>
      </c>
      <c r="L190" s="422" t="s">
        <v>1322</v>
      </c>
      <c r="M190" s="425">
        <v>210000</v>
      </c>
      <c r="N190" s="425">
        <f>M190*НДС!$A$1</f>
        <v>243599.99999999997</v>
      </c>
      <c r="O190" s="426" t="s">
        <v>70</v>
      </c>
      <c r="P190" s="422"/>
      <c r="Q190" s="450" t="s">
        <v>61</v>
      </c>
      <c r="R190" s="423">
        <f>IF(Таблица68[[#This Row],[Столбец2]]="A",1,IF(Таблица68[[#This Row],[Столбец2]]="B",2,IF(Таблица68[[#This Row],[Столбец2]]="C",3)))</f>
        <v>2</v>
      </c>
      <c r="S190" s="413" t="s">
        <v>882</v>
      </c>
    </row>
    <row r="191" spans="1:21" ht="16.5">
      <c r="A191" s="420" t="s">
        <v>440</v>
      </c>
      <c r="B191" s="422" t="s">
        <v>1275</v>
      </c>
      <c r="C191" s="422" t="s">
        <v>1323</v>
      </c>
      <c r="D191" s="423" t="s">
        <v>1277</v>
      </c>
      <c r="E191" s="423" t="str">
        <f>RIGHT(Таблица68[[#This Row],[Полное  наименование]],19)</f>
        <v>FIA 100 D ANG PN 40</v>
      </c>
      <c r="F191" s="423" t="s">
        <v>267</v>
      </c>
      <c r="G191" s="423">
        <v>100</v>
      </c>
      <c r="H191" s="423">
        <v>40</v>
      </c>
      <c r="I191" s="423" t="s">
        <v>346</v>
      </c>
      <c r="J191" s="423" t="s">
        <v>924</v>
      </c>
      <c r="K191" s="424" t="s">
        <v>925</v>
      </c>
      <c r="L191" s="422" t="s">
        <v>1324</v>
      </c>
      <c r="M191" s="425">
        <v>210000</v>
      </c>
      <c r="N191" s="425">
        <f>M191*НДС!$A$1</f>
        <v>243599.99999999997</v>
      </c>
      <c r="O191" s="426" t="s">
        <v>70</v>
      </c>
      <c r="P191" s="422"/>
      <c r="Q191" s="450" t="s">
        <v>61</v>
      </c>
      <c r="R191" s="423">
        <f>IF(Таблица68[[#This Row],[Столбец2]]="A",1,IF(Таблица68[[#This Row],[Столбец2]]="B",2,IF(Таблица68[[#This Row],[Столбец2]]="C",3)))</f>
        <v>2</v>
      </c>
      <c r="S191" s="413" t="s">
        <v>882</v>
      </c>
    </row>
    <row r="192" spans="1:21" ht="25">
      <c r="A192" s="420" t="s">
        <v>403</v>
      </c>
      <c r="B192" s="422" t="s">
        <v>1275</v>
      </c>
      <c r="C192" s="422" t="s">
        <v>1325</v>
      </c>
      <c r="D192" s="423" t="s">
        <v>1277</v>
      </c>
      <c r="E192" s="423" t="str">
        <f>RIGHT(Таблица68[[#This Row],[Полное  наименование]],19)</f>
        <v>FIA 125 D STR PN 40</v>
      </c>
      <c r="F192" s="423" t="s">
        <v>257</v>
      </c>
      <c r="G192" s="423">
        <v>125</v>
      </c>
      <c r="H192" s="423">
        <v>40</v>
      </c>
      <c r="I192" s="423" t="s">
        <v>346</v>
      </c>
      <c r="J192" s="423" t="s">
        <v>924</v>
      </c>
      <c r="K192" s="424" t="s">
        <v>925</v>
      </c>
      <c r="L192" s="422" t="s">
        <v>1326</v>
      </c>
      <c r="M192" s="425">
        <v>354000</v>
      </c>
      <c r="N192" s="425">
        <f>M192*НДС!$A$1</f>
        <v>410640</v>
      </c>
      <c r="O192" s="426" t="s">
        <v>70</v>
      </c>
      <c r="P192" s="422"/>
      <c r="Q192" s="429" t="s">
        <v>65</v>
      </c>
      <c r="R192" s="423">
        <f>IF(Таблица68[[#This Row],[Столбец2]]="A",1,IF(Таблица68[[#This Row],[Столбец2]]="B",2,IF(Таблица68[[#This Row],[Столбец2]]="C",3)))</f>
        <v>3</v>
      </c>
      <c r="S192" s="413" t="s">
        <v>878</v>
      </c>
    </row>
    <row r="193" spans="1:19" ht="16.5">
      <c r="A193" s="420" t="s">
        <v>444</v>
      </c>
      <c r="B193" s="422" t="s">
        <v>1275</v>
      </c>
      <c r="C193" s="422" t="s">
        <v>1327</v>
      </c>
      <c r="D193" s="423" t="s">
        <v>1277</v>
      </c>
      <c r="E193" s="423" t="str">
        <f>RIGHT(Таблица68[[#This Row],[Полное  наименование]],19)</f>
        <v>FIA 125 D ANG PN 40</v>
      </c>
      <c r="F193" s="423" t="s">
        <v>267</v>
      </c>
      <c r="G193" s="423">
        <v>125</v>
      </c>
      <c r="H193" s="423">
        <v>40</v>
      </c>
      <c r="I193" s="423" t="s">
        <v>346</v>
      </c>
      <c r="J193" s="423" t="s">
        <v>924</v>
      </c>
      <c r="K193" s="424" t="s">
        <v>925</v>
      </c>
      <c r="L193" s="422" t="s">
        <v>1328</v>
      </c>
      <c r="M193" s="425">
        <v>354000</v>
      </c>
      <c r="N193" s="425">
        <f>M193*НДС!$A$1</f>
        <v>410640</v>
      </c>
      <c r="O193" s="426" t="s">
        <v>70</v>
      </c>
      <c r="P193" s="422"/>
      <c r="Q193" s="450" t="s">
        <v>61</v>
      </c>
      <c r="R193" s="423">
        <f>IF(Таблица68[[#This Row],[Столбец2]]="A",1,IF(Таблица68[[#This Row],[Столбец2]]="B",2,IF(Таблица68[[#This Row],[Столбец2]]="C",3)))</f>
        <v>2</v>
      </c>
      <c r="S193" s="413" t="s">
        <v>882</v>
      </c>
    </row>
    <row r="194" spans="1:19" ht="25">
      <c r="A194" s="420" t="s">
        <v>411</v>
      </c>
      <c r="B194" s="422" t="s">
        <v>1275</v>
      </c>
      <c r="C194" s="422" t="s">
        <v>1329</v>
      </c>
      <c r="D194" s="423" t="s">
        <v>1277</v>
      </c>
      <c r="E194" s="423" t="str">
        <f>RIGHT(Таблица68[[#This Row],[Полное  наименование]],19)</f>
        <v>FIA 150 D STR PN 40</v>
      </c>
      <c r="F194" s="423" t="s">
        <v>257</v>
      </c>
      <c r="G194" s="423">
        <v>150</v>
      </c>
      <c r="H194" s="423">
        <v>40</v>
      </c>
      <c r="I194" s="423" t="s">
        <v>346</v>
      </c>
      <c r="J194" s="423" t="s">
        <v>924</v>
      </c>
      <c r="K194" s="424" t="s">
        <v>925</v>
      </c>
      <c r="L194" s="422" t="s">
        <v>1330</v>
      </c>
      <c r="M194" s="425">
        <v>498000</v>
      </c>
      <c r="N194" s="425">
        <f>M194*НДС!$A$1</f>
        <v>577680</v>
      </c>
      <c r="O194" s="426" t="s">
        <v>70</v>
      </c>
      <c r="P194" s="422"/>
      <c r="Q194" s="429" t="s">
        <v>65</v>
      </c>
      <c r="R194" s="423">
        <f>IF(Таблица68[[#This Row],[Столбец2]]="A",1,IF(Таблица68[[#This Row],[Столбец2]]="B",2,IF(Таблица68[[#This Row],[Столбец2]]="C",3)))</f>
        <v>3</v>
      </c>
      <c r="S194" s="413" t="s">
        <v>878</v>
      </c>
    </row>
    <row r="195" spans="1:19" ht="25">
      <c r="A195" s="420" t="s">
        <v>448</v>
      </c>
      <c r="B195" s="422" t="s">
        <v>1275</v>
      </c>
      <c r="C195" s="422" t="s">
        <v>1331</v>
      </c>
      <c r="D195" s="423" t="s">
        <v>1277</v>
      </c>
      <c r="E195" s="423" t="str">
        <f>RIGHT(Таблица68[[#This Row],[Полное  наименование]],19)</f>
        <v>FIA 150 D ANG PN 40</v>
      </c>
      <c r="F195" s="423" t="s">
        <v>267</v>
      </c>
      <c r="G195" s="423">
        <v>150</v>
      </c>
      <c r="H195" s="423">
        <v>40</v>
      </c>
      <c r="I195" s="423" t="s">
        <v>346</v>
      </c>
      <c r="J195" s="423" t="s">
        <v>924</v>
      </c>
      <c r="K195" s="424" t="s">
        <v>925</v>
      </c>
      <c r="L195" s="422" t="s">
        <v>1332</v>
      </c>
      <c r="M195" s="425">
        <v>498000</v>
      </c>
      <c r="N195" s="425">
        <f>M195*НДС!$A$1</f>
        <v>577680</v>
      </c>
      <c r="O195" s="426" t="s">
        <v>70</v>
      </c>
      <c r="P195" s="422"/>
      <c r="Q195" s="429" t="s">
        <v>65</v>
      </c>
      <c r="R195" s="423">
        <f>IF(Таблица68[[#This Row],[Столбец2]]="A",1,IF(Таблица68[[#This Row],[Столбец2]]="B",2,IF(Таблица68[[#This Row],[Столбец2]]="C",3)))</f>
        <v>3</v>
      </c>
      <c r="S195" s="413" t="s">
        <v>878</v>
      </c>
    </row>
    <row r="196" spans="1:19" ht="25">
      <c r="A196" s="420" t="s">
        <v>418</v>
      </c>
      <c r="B196" s="422" t="s">
        <v>1275</v>
      </c>
      <c r="C196" s="422" t="s">
        <v>1333</v>
      </c>
      <c r="D196" s="423" t="s">
        <v>1277</v>
      </c>
      <c r="E196" s="423" t="str">
        <f>RIGHT(Таблица68[[#This Row],[Полное  наименование]],19)</f>
        <v>FIA 200 D STR PN 40</v>
      </c>
      <c r="F196" s="423" t="s">
        <v>257</v>
      </c>
      <c r="G196" s="423">
        <v>200</v>
      </c>
      <c r="H196" s="423">
        <v>40</v>
      </c>
      <c r="I196" s="423" t="s">
        <v>346</v>
      </c>
      <c r="J196" s="423" t="s">
        <v>924</v>
      </c>
      <c r="K196" s="424" t="s">
        <v>925</v>
      </c>
      <c r="L196" s="422" t="s">
        <v>1334</v>
      </c>
      <c r="M196" s="425">
        <v>870000</v>
      </c>
      <c r="N196" s="425">
        <f>M196*НДС!$A$1</f>
        <v>1009199.9999999999</v>
      </c>
      <c r="O196" s="426" t="s">
        <v>70</v>
      </c>
      <c r="P196" s="422"/>
      <c r="Q196" s="429" t="s">
        <v>65</v>
      </c>
      <c r="R196" s="423">
        <f>IF(Таблица68[[#This Row],[Столбец2]]="A",1,IF(Таблица68[[#This Row],[Столбец2]]="B",2,IF(Таблица68[[#This Row],[Столбец2]]="C",3)))</f>
        <v>3</v>
      </c>
      <c r="S196" s="413" t="s">
        <v>878</v>
      </c>
    </row>
    <row r="197" spans="1:19" ht="25">
      <c r="A197" s="420" t="s">
        <v>450</v>
      </c>
      <c r="B197" s="422" t="s">
        <v>1275</v>
      </c>
      <c r="C197" s="422" t="s">
        <v>1335</v>
      </c>
      <c r="D197" s="423" t="s">
        <v>1277</v>
      </c>
      <c r="E197" s="423" t="str">
        <f>RIGHT(Таблица68[[#This Row],[Полное  наименование]],19)</f>
        <v>FIA 200 D ANG PN 40</v>
      </c>
      <c r="F197" s="423" t="s">
        <v>267</v>
      </c>
      <c r="G197" s="423">
        <v>200</v>
      </c>
      <c r="H197" s="423">
        <v>40</v>
      </c>
      <c r="I197" s="423" t="s">
        <v>346</v>
      </c>
      <c r="J197" s="423" t="s">
        <v>924</v>
      </c>
      <c r="K197" s="424" t="s">
        <v>925</v>
      </c>
      <c r="L197" s="422" t="s">
        <v>1336</v>
      </c>
      <c r="M197" s="425">
        <v>870000</v>
      </c>
      <c r="N197" s="425">
        <f>M197*НДС!$A$1</f>
        <v>1009199.9999999999</v>
      </c>
      <c r="O197" s="426" t="s">
        <v>70</v>
      </c>
      <c r="P197" s="422"/>
      <c r="Q197" s="429" t="s">
        <v>65</v>
      </c>
      <c r="R197" s="423">
        <f>IF(Таблица68[[#This Row],[Столбец2]]="A",1,IF(Таблица68[[#This Row],[Столбец2]]="B",2,IF(Таблица68[[#This Row],[Столбец2]]="C",3)))</f>
        <v>3</v>
      </c>
      <c r="S197" s="413" t="s">
        <v>878</v>
      </c>
    </row>
    <row r="198" spans="1:19" ht="25">
      <c r="A198" s="420" t="s">
        <v>420</v>
      </c>
      <c r="B198" s="422" t="s">
        <v>1275</v>
      </c>
      <c r="C198" s="422" t="s">
        <v>1337</v>
      </c>
      <c r="D198" s="423" t="s">
        <v>1277</v>
      </c>
      <c r="E198" s="423" t="str">
        <f>RIGHT(Таблица68[[#This Row],[Полное  наименование]],19)</f>
        <v>FIA 250 D STR PN 40</v>
      </c>
      <c r="F198" s="423" t="s">
        <v>257</v>
      </c>
      <c r="G198" s="423">
        <v>250</v>
      </c>
      <c r="H198" s="423">
        <v>40</v>
      </c>
      <c r="I198" s="423" t="s">
        <v>346</v>
      </c>
      <c r="J198" s="423" t="s">
        <v>924</v>
      </c>
      <c r="K198" s="424" t="s">
        <v>925</v>
      </c>
      <c r="L198" s="422" t="s">
        <v>1338</v>
      </c>
      <c r="M198" s="425">
        <v>1500000</v>
      </c>
      <c r="N198" s="425">
        <f>M198*НДС!$A$1</f>
        <v>1739999.9999999998</v>
      </c>
      <c r="O198" s="426" t="s">
        <v>910</v>
      </c>
      <c r="P198" s="422"/>
      <c r="Q198" s="429" t="s">
        <v>65</v>
      </c>
      <c r="R198" s="423">
        <f>IF(Таблица68[[#This Row],[Столбец2]]="A",1,IF(Таблица68[[#This Row],[Столбец2]]="B",2,IF(Таблица68[[#This Row],[Столбец2]]="C",3)))</f>
        <v>3</v>
      </c>
      <c r="S198" s="413" t="s">
        <v>878</v>
      </c>
    </row>
    <row r="199" spans="1:19" ht="25">
      <c r="A199" s="420" t="s">
        <v>451</v>
      </c>
      <c r="B199" s="422" t="s">
        <v>1275</v>
      </c>
      <c r="C199" s="422" t="s">
        <v>1339</v>
      </c>
      <c r="D199" s="423" t="s">
        <v>1277</v>
      </c>
      <c r="E199" s="423" t="str">
        <f>RIGHT(Таблица68[[#This Row],[Полное  наименование]],19)</f>
        <v>FIA 250 D ANG PN 40</v>
      </c>
      <c r="F199" s="423" t="s">
        <v>267</v>
      </c>
      <c r="G199" s="423">
        <v>250</v>
      </c>
      <c r="H199" s="423">
        <v>40</v>
      </c>
      <c r="I199" s="423" t="s">
        <v>346</v>
      </c>
      <c r="J199" s="423" t="s">
        <v>924</v>
      </c>
      <c r="K199" s="424" t="s">
        <v>925</v>
      </c>
      <c r="L199" s="422" t="s">
        <v>1340</v>
      </c>
      <c r="M199" s="425">
        <v>1500000</v>
      </c>
      <c r="N199" s="425">
        <f>M199*НДС!$A$1</f>
        <v>1739999.9999999998</v>
      </c>
      <c r="O199" s="426" t="s">
        <v>910</v>
      </c>
      <c r="P199" s="422"/>
      <c r="Q199" s="429" t="s">
        <v>65</v>
      </c>
      <c r="R199" s="423">
        <f>IF(Таблица68[[#This Row],[Столбец2]]="A",1,IF(Таблица68[[#This Row],[Столбец2]]="B",2,IF(Таблица68[[#This Row],[Столбец2]]="C",3)))</f>
        <v>3</v>
      </c>
      <c r="S199" s="413" t="s">
        <v>878</v>
      </c>
    </row>
    <row r="200" spans="1:19" ht="16.5">
      <c r="A200" s="420" t="s">
        <v>375</v>
      </c>
      <c r="B200" s="422" t="s">
        <v>1341</v>
      </c>
      <c r="C200" s="422" t="s">
        <v>1342</v>
      </c>
      <c r="D200" s="423" t="s">
        <v>1343</v>
      </c>
      <c r="E200" s="423" t="s">
        <v>86</v>
      </c>
      <c r="F200" s="423" t="s">
        <v>1344</v>
      </c>
      <c r="G200" s="423" t="s">
        <v>1345</v>
      </c>
      <c r="H200" s="423" t="s">
        <v>86</v>
      </c>
      <c r="I200" s="423" t="s">
        <v>86</v>
      </c>
      <c r="J200" s="423" t="s">
        <v>86</v>
      </c>
      <c r="K200" s="423" t="s">
        <v>86</v>
      </c>
      <c r="L200" s="422" t="s">
        <v>1346</v>
      </c>
      <c r="M200" s="425">
        <v>16800</v>
      </c>
      <c r="N200" s="425">
        <f>M200*НДС!$A$1</f>
        <v>19488</v>
      </c>
      <c r="O200" s="426" t="s">
        <v>70</v>
      </c>
      <c r="P200" s="422"/>
      <c r="Q200" s="450" t="s">
        <v>61</v>
      </c>
      <c r="R200" s="423">
        <f>IF(Таблица68[[#This Row],[Столбец2]]="A",1,IF(Таблица68[[#This Row],[Столбец2]]="B",2,IF(Таблица68[[#This Row],[Столбец2]]="C",3)))</f>
        <v>2</v>
      </c>
      <c r="S200" s="413" t="s">
        <v>882</v>
      </c>
    </row>
    <row r="201" spans="1:19" ht="16.5">
      <c r="A201" s="420" t="s">
        <v>377</v>
      </c>
      <c r="B201" s="422" t="s">
        <v>1347</v>
      </c>
      <c r="C201" s="422" t="s">
        <v>1348</v>
      </c>
      <c r="D201" s="423" t="s">
        <v>1343</v>
      </c>
      <c r="E201" s="423" t="s">
        <v>86</v>
      </c>
      <c r="F201" s="423" t="s">
        <v>1349</v>
      </c>
      <c r="G201" s="423" t="s">
        <v>1345</v>
      </c>
      <c r="H201" s="423" t="s">
        <v>86</v>
      </c>
      <c r="I201" s="423" t="s">
        <v>86</v>
      </c>
      <c r="J201" s="423" t="s">
        <v>86</v>
      </c>
      <c r="K201" s="423" t="s">
        <v>86</v>
      </c>
      <c r="L201" s="422" t="s">
        <v>1350</v>
      </c>
      <c r="M201" s="425">
        <v>16800</v>
      </c>
      <c r="N201" s="425">
        <f>M201*НДС!$A$1</f>
        <v>19488</v>
      </c>
      <c r="O201" s="426" t="s">
        <v>70</v>
      </c>
      <c r="P201" s="422"/>
      <c r="Q201" s="450" t="s">
        <v>61</v>
      </c>
      <c r="R201" s="423">
        <f>IF(Таблица68[[#This Row],[Столбец2]]="A",1,IF(Таблица68[[#This Row],[Столбец2]]="B",2,IF(Таблица68[[#This Row],[Столбец2]]="C",3)))</f>
        <v>2</v>
      </c>
      <c r="S201" s="413" t="s">
        <v>882</v>
      </c>
    </row>
    <row r="202" spans="1:19" ht="16.5">
      <c r="A202" s="420" t="s">
        <v>379</v>
      </c>
      <c r="B202" s="422" t="s">
        <v>1341</v>
      </c>
      <c r="C202" s="422" t="s">
        <v>1351</v>
      </c>
      <c r="D202" s="423" t="s">
        <v>1343</v>
      </c>
      <c r="E202" s="423" t="s">
        <v>86</v>
      </c>
      <c r="F202" s="423" t="s">
        <v>1352</v>
      </c>
      <c r="G202" s="423" t="s">
        <v>1345</v>
      </c>
      <c r="H202" s="423" t="s">
        <v>86</v>
      </c>
      <c r="I202" s="423" t="s">
        <v>86</v>
      </c>
      <c r="J202" s="423" t="s">
        <v>86</v>
      </c>
      <c r="K202" s="423" t="s">
        <v>86</v>
      </c>
      <c r="L202" s="422" t="s">
        <v>1353</v>
      </c>
      <c r="M202" s="425">
        <v>16800</v>
      </c>
      <c r="N202" s="425">
        <f>M202*НДС!$A$1</f>
        <v>19488</v>
      </c>
      <c r="O202" s="426" t="s">
        <v>70</v>
      </c>
      <c r="P202" s="422"/>
      <c r="Q202" s="450" t="s">
        <v>61</v>
      </c>
      <c r="R202" s="423">
        <f>IF(Таблица68[[#This Row],[Столбец2]]="A",1,IF(Таблица68[[#This Row],[Столбец2]]="B",2,IF(Таблица68[[#This Row],[Столбец2]]="C",3)))</f>
        <v>2</v>
      </c>
      <c r="S202" s="413" t="s">
        <v>882</v>
      </c>
    </row>
    <row r="203" spans="1:19" ht="25">
      <c r="A203" s="420" t="s">
        <v>381</v>
      </c>
      <c r="B203" s="422" t="s">
        <v>1341</v>
      </c>
      <c r="C203" s="422" t="s">
        <v>1354</v>
      </c>
      <c r="D203" s="423" t="s">
        <v>1343</v>
      </c>
      <c r="E203" s="423" t="s">
        <v>86</v>
      </c>
      <c r="F203" s="423" t="s">
        <v>1355</v>
      </c>
      <c r="G203" s="423" t="s">
        <v>1345</v>
      </c>
      <c r="H203" s="423" t="s">
        <v>86</v>
      </c>
      <c r="I203" s="423" t="s">
        <v>86</v>
      </c>
      <c r="J203" s="423" t="s">
        <v>86</v>
      </c>
      <c r="K203" s="423" t="s">
        <v>86</v>
      </c>
      <c r="L203" s="422" t="s">
        <v>1356</v>
      </c>
      <c r="M203" s="425">
        <v>16800</v>
      </c>
      <c r="N203" s="425">
        <f>M203*НДС!$A$1</f>
        <v>19488</v>
      </c>
      <c r="O203" s="426" t="s">
        <v>70</v>
      </c>
      <c r="P203" s="422"/>
      <c r="Q203" s="429" t="s">
        <v>65</v>
      </c>
      <c r="R203" s="423">
        <f>IF(Таблица68[[#This Row],[Столбец2]]="A",1,IF(Таблица68[[#This Row],[Столбец2]]="B",2,IF(Таблица68[[#This Row],[Столбец2]]="C",3)))</f>
        <v>3</v>
      </c>
      <c r="S203" s="413" t="s">
        <v>878</v>
      </c>
    </row>
    <row r="204" spans="1:19" ht="25">
      <c r="A204" s="420" t="s">
        <v>383</v>
      </c>
      <c r="B204" s="422" t="s">
        <v>1347</v>
      </c>
      <c r="C204" s="422" t="s">
        <v>1357</v>
      </c>
      <c r="D204" s="423" t="s">
        <v>1343</v>
      </c>
      <c r="E204" s="423" t="s">
        <v>86</v>
      </c>
      <c r="F204" s="423" t="s">
        <v>1344</v>
      </c>
      <c r="G204" s="423" t="s">
        <v>1358</v>
      </c>
      <c r="H204" s="423" t="s">
        <v>86</v>
      </c>
      <c r="I204" s="423" t="s">
        <v>86</v>
      </c>
      <c r="J204" s="423" t="s">
        <v>86</v>
      </c>
      <c r="K204" s="423" t="s">
        <v>86</v>
      </c>
      <c r="L204" s="422" t="s">
        <v>1359</v>
      </c>
      <c r="M204" s="425">
        <v>24000</v>
      </c>
      <c r="N204" s="425">
        <f>M204*НДС!$A$1</f>
        <v>27839.999999999996</v>
      </c>
      <c r="O204" s="426" t="s">
        <v>70</v>
      </c>
      <c r="P204" s="422"/>
      <c r="Q204" s="454" t="s">
        <v>65</v>
      </c>
      <c r="R204" s="423">
        <f>IF(Таблица68[[#This Row],[Столбец2]]="A",1,IF(Таблица68[[#This Row],[Столбец2]]="B",2,IF(Таблица68[[#This Row],[Столбец2]]="C",3)))</f>
        <v>3</v>
      </c>
      <c r="S204" s="413" t="s">
        <v>878</v>
      </c>
    </row>
    <row r="205" spans="1:19" ht="16.5">
      <c r="A205" s="420" t="s">
        <v>385</v>
      </c>
      <c r="B205" s="422" t="s">
        <v>1341</v>
      </c>
      <c r="C205" s="422" t="s">
        <v>1360</v>
      </c>
      <c r="D205" s="423" t="s">
        <v>1343</v>
      </c>
      <c r="E205" s="423" t="s">
        <v>86</v>
      </c>
      <c r="F205" s="423" t="s">
        <v>1349</v>
      </c>
      <c r="G205" s="423" t="s">
        <v>1358</v>
      </c>
      <c r="H205" s="423" t="s">
        <v>86</v>
      </c>
      <c r="I205" s="423" t="s">
        <v>86</v>
      </c>
      <c r="J205" s="423" t="s">
        <v>86</v>
      </c>
      <c r="K205" s="423" t="s">
        <v>86</v>
      </c>
      <c r="L205" s="422" t="s">
        <v>1361</v>
      </c>
      <c r="M205" s="425">
        <v>24000</v>
      </c>
      <c r="N205" s="425">
        <f>M205*НДС!$A$1</f>
        <v>27839.999999999996</v>
      </c>
      <c r="O205" s="426" t="s">
        <v>70</v>
      </c>
      <c r="P205" s="422"/>
      <c r="Q205" s="450" t="s">
        <v>61</v>
      </c>
      <c r="R205" s="423">
        <f>IF(Таблица68[[#This Row],[Столбец2]]="A",1,IF(Таблица68[[#This Row],[Столбец2]]="B",2,IF(Таблица68[[#This Row],[Столбец2]]="C",3)))</f>
        <v>2</v>
      </c>
      <c r="S205" s="413" t="s">
        <v>882</v>
      </c>
    </row>
    <row r="206" spans="1:19" ht="16.5">
      <c r="A206" s="420" t="s">
        <v>388</v>
      </c>
      <c r="B206" s="422" t="s">
        <v>1341</v>
      </c>
      <c r="C206" s="422" t="s">
        <v>1362</v>
      </c>
      <c r="D206" s="423" t="s">
        <v>1343</v>
      </c>
      <c r="E206" s="423" t="s">
        <v>86</v>
      </c>
      <c r="F206" s="423" t="s">
        <v>1352</v>
      </c>
      <c r="G206" s="423" t="s">
        <v>1358</v>
      </c>
      <c r="H206" s="423" t="s">
        <v>86</v>
      </c>
      <c r="I206" s="423" t="s">
        <v>86</v>
      </c>
      <c r="J206" s="423" t="s">
        <v>86</v>
      </c>
      <c r="K206" s="423" t="s">
        <v>86</v>
      </c>
      <c r="L206" s="422" t="s">
        <v>1363</v>
      </c>
      <c r="M206" s="425">
        <v>24000</v>
      </c>
      <c r="N206" s="425">
        <f>M206*НДС!$A$1</f>
        <v>27839.999999999996</v>
      </c>
      <c r="O206" s="426" t="s">
        <v>70</v>
      </c>
      <c r="P206" s="422"/>
      <c r="Q206" s="450" t="s">
        <v>61</v>
      </c>
      <c r="R206" s="423">
        <f>IF(Таблица68[[#This Row],[Столбец2]]="A",1,IF(Таблица68[[#This Row],[Столбец2]]="B",2,IF(Таблица68[[#This Row],[Столбец2]]="C",3)))</f>
        <v>2</v>
      </c>
      <c r="S206" s="413" t="s">
        <v>882</v>
      </c>
    </row>
    <row r="207" spans="1:19" ht="25">
      <c r="A207" s="420" t="s">
        <v>390</v>
      </c>
      <c r="B207" s="422" t="s">
        <v>1347</v>
      </c>
      <c r="C207" s="422" t="s">
        <v>1364</v>
      </c>
      <c r="D207" s="423" t="s">
        <v>1343</v>
      </c>
      <c r="E207" s="423" t="s">
        <v>86</v>
      </c>
      <c r="F207" s="423" t="s">
        <v>1355</v>
      </c>
      <c r="G207" s="423" t="s">
        <v>1358</v>
      </c>
      <c r="H207" s="423" t="s">
        <v>86</v>
      </c>
      <c r="I207" s="423" t="s">
        <v>86</v>
      </c>
      <c r="J207" s="423" t="s">
        <v>86</v>
      </c>
      <c r="K207" s="423" t="s">
        <v>86</v>
      </c>
      <c r="L207" s="422" t="s">
        <v>1365</v>
      </c>
      <c r="M207" s="425">
        <v>24000</v>
      </c>
      <c r="N207" s="425">
        <f>M207*НДС!$A$1</f>
        <v>27839.999999999996</v>
      </c>
      <c r="O207" s="426" t="s">
        <v>70</v>
      </c>
      <c r="P207" s="422"/>
      <c r="Q207" s="429" t="s">
        <v>65</v>
      </c>
      <c r="R207" s="423">
        <f>IF(Таблица68[[#This Row],[Столбец2]]="A",1,IF(Таблица68[[#This Row],[Столбец2]]="B",2,IF(Таблица68[[#This Row],[Столбец2]]="C",3)))</f>
        <v>3</v>
      </c>
      <c r="S207" s="413" t="s">
        <v>878</v>
      </c>
    </row>
    <row r="208" spans="1:19" ht="25">
      <c r="A208" s="420" t="s">
        <v>392</v>
      </c>
      <c r="B208" s="422" t="s">
        <v>1347</v>
      </c>
      <c r="C208" s="422" t="s">
        <v>1366</v>
      </c>
      <c r="D208" s="423" t="s">
        <v>1343</v>
      </c>
      <c r="E208" s="423" t="s">
        <v>86</v>
      </c>
      <c r="F208" s="423" t="s">
        <v>1344</v>
      </c>
      <c r="G208" s="423" t="s">
        <v>1367</v>
      </c>
      <c r="H208" s="423" t="s">
        <v>86</v>
      </c>
      <c r="I208" s="423" t="s">
        <v>86</v>
      </c>
      <c r="J208" s="423" t="s">
        <v>86</v>
      </c>
      <c r="K208" s="423" t="s">
        <v>86</v>
      </c>
      <c r="L208" s="422" t="s">
        <v>1368</v>
      </c>
      <c r="M208" s="425">
        <v>33600</v>
      </c>
      <c r="N208" s="425">
        <f>M208*НДС!$A$1</f>
        <v>38976</v>
      </c>
      <c r="O208" s="426" t="s">
        <v>70</v>
      </c>
      <c r="P208" s="422"/>
      <c r="Q208" s="429" t="s">
        <v>65</v>
      </c>
      <c r="R208" s="423">
        <f>IF(Таблица68[[#This Row],[Столбец2]]="A",1,IF(Таблица68[[#This Row],[Столбец2]]="B",2,IF(Таблица68[[#This Row],[Столбец2]]="C",3)))</f>
        <v>3</v>
      </c>
      <c r="S208" s="413" t="s">
        <v>878</v>
      </c>
    </row>
    <row r="209" spans="1:19" ht="16.5">
      <c r="A209" s="420" t="s">
        <v>394</v>
      </c>
      <c r="B209" s="422" t="s">
        <v>1347</v>
      </c>
      <c r="C209" s="422" t="s">
        <v>1369</v>
      </c>
      <c r="D209" s="423" t="s">
        <v>1343</v>
      </c>
      <c r="E209" s="423" t="s">
        <v>86</v>
      </c>
      <c r="F209" s="423" t="s">
        <v>1349</v>
      </c>
      <c r="G209" s="423" t="s">
        <v>1367</v>
      </c>
      <c r="H209" s="423" t="s">
        <v>86</v>
      </c>
      <c r="I209" s="423" t="s">
        <v>86</v>
      </c>
      <c r="J209" s="423" t="s">
        <v>86</v>
      </c>
      <c r="K209" s="423" t="s">
        <v>86</v>
      </c>
      <c r="L209" s="422" t="s">
        <v>1370</v>
      </c>
      <c r="M209" s="425">
        <v>33600</v>
      </c>
      <c r="N209" s="425">
        <f>M209*НДС!$A$1</f>
        <v>38976</v>
      </c>
      <c r="O209" s="426" t="s">
        <v>70</v>
      </c>
      <c r="P209" s="422"/>
      <c r="Q209" s="450" t="s">
        <v>61</v>
      </c>
      <c r="R209" s="423">
        <f>IF(Таблица68[[#This Row],[Столбец2]]="A",1,IF(Таблица68[[#This Row],[Столбец2]]="B",2,IF(Таблица68[[#This Row],[Столбец2]]="C",3)))</f>
        <v>2</v>
      </c>
      <c r="S209" s="413" t="s">
        <v>882</v>
      </c>
    </row>
    <row r="210" spans="1:19" ht="16.5">
      <c r="A210" s="420" t="s">
        <v>396</v>
      </c>
      <c r="B210" s="422" t="s">
        <v>1347</v>
      </c>
      <c r="C210" s="422" t="s">
        <v>1371</v>
      </c>
      <c r="D210" s="423" t="s">
        <v>1343</v>
      </c>
      <c r="E210" s="423" t="s">
        <v>86</v>
      </c>
      <c r="F210" s="423" t="s">
        <v>1352</v>
      </c>
      <c r="G210" s="423" t="s">
        <v>1367</v>
      </c>
      <c r="H210" s="423" t="s">
        <v>86</v>
      </c>
      <c r="I210" s="423" t="s">
        <v>86</v>
      </c>
      <c r="J210" s="423" t="s">
        <v>86</v>
      </c>
      <c r="K210" s="423" t="s">
        <v>86</v>
      </c>
      <c r="L210" s="422" t="s">
        <v>1372</v>
      </c>
      <c r="M210" s="425">
        <v>33600</v>
      </c>
      <c r="N210" s="425">
        <f>M210*НДС!$A$1</f>
        <v>38976</v>
      </c>
      <c r="O210" s="426" t="s">
        <v>70</v>
      </c>
      <c r="P210" s="422"/>
      <c r="Q210" s="450" t="s">
        <v>61</v>
      </c>
      <c r="R210" s="423">
        <f>IF(Таблица68[[#This Row],[Столбец2]]="A",1,IF(Таблица68[[#This Row],[Столбец2]]="B",2,IF(Таблица68[[#This Row],[Столбец2]]="C",3)))</f>
        <v>2</v>
      </c>
      <c r="S210" s="413" t="s">
        <v>882</v>
      </c>
    </row>
    <row r="211" spans="1:19" ht="25">
      <c r="A211" s="420" t="s">
        <v>398</v>
      </c>
      <c r="B211" s="422" t="s">
        <v>1347</v>
      </c>
      <c r="C211" s="422" t="s">
        <v>1373</v>
      </c>
      <c r="D211" s="423" t="s">
        <v>1343</v>
      </c>
      <c r="E211" s="423" t="s">
        <v>86</v>
      </c>
      <c r="F211" s="423" t="s">
        <v>1355</v>
      </c>
      <c r="G211" s="423" t="s">
        <v>1367</v>
      </c>
      <c r="H211" s="423" t="s">
        <v>86</v>
      </c>
      <c r="I211" s="423" t="s">
        <v>86</v>
      </c>
      <c r="J211" s="423" t="s">
        <v>86</v>
      </c>
      <c r="K211" s="423" t="s">
        <v>86</v>
      </c>
      <c r="L211" s="422" t="s">
        <v>1374</v>
      </c>
      <c r="M211" s="425">
        <v>33600</v>
      </c>
      <c r="N211" s="425">
        <f>M211*НДС!$A$1</f>
        <v>38976</v>
      </c>
      <c r="O211" s="426" t="s">
        <v>70</v>
      </c>
      <c r="P211" s="422"/>
      <c r="Q211" s="429" t="s">
        <v>65</v>
      </c>
      <c r="R211" s="423">
        <f>IF(Таблица68[[#This Row],[Столбец2]]="A",1,IF(Таблица68[[#This Row],[Столбец2]]="B",2,IF(Таблица68[[#This Row],[Столбец2]]="C",3)))</f>
        <v>3</v>
      </c>
      <c r="S211" s="413" t="s">
        <v>878</v>
      </c>
    </row>
    <row r="212" spans="1:19" ht="16.5">
      <c r="A212" s="420" t="s">
        <v>400</v>
      </c>
      <c r="B212" s="422" t="s">
        <v>1347</v>
      </c>
      <c r="C212" s="422" t="s">
        <v>1375</v>
      </c>
      <c r="D212" s="423" t="s">
        <v>1343</v>
      </c>
      <c r="E212" s="423" t="s">
        <v>86</v>
      </c>
      <c r="F212" s="423" t="s">
        <v>1349</v>
      </c>
      <c r="G212" s="423" t="s">
        <v>1376</v>
      </c>
      <c r="H212" s="423" t="s">
        <v>86</v>
      </c>
      <c r="I212" s="423" t="s">
        <v>86</v>
      </c>
      <c r="J212" s="423" t="s">
        <v>86</v>
      </c>
      <c r="K212" s="423" t="s">
        <v>86</v>
      </c>
      <c r="L212" s="422" t="s">
        <v>1377</v>
      </c>
      <c r="M212" s="425">
        <v>51000</v>
      </c>
      <c r="N212" s="425">
        <f>M212*НДС!$A$1</f>
        <v>59159.999999999993</v>
      </c>
      <c r="O212" s="426" t="s">
        <v>70</v>
      </c>
      <c r="P212" s="422"/>
      <c r="Q212" s="450" t="s">
        <v>61</v>
      </c>
      <c r="R212" s="423">
        <f>IF(Таблица68[[#This Row],[Столбец2]]="A",1,IF(Таблица68[[#This Row],[Столбец2]]="B",2,IF(Таблица68[[#This Row],[Столбец2]]="C",3)))</f>
        <v>2</v>
      </c>
      <c r="S212" s="413" t="s">
        <v>882</v>
      </c>
    </row>
    <row r="213" spans="1:19" ht="16.5">
      <c r="A213" s="420" t="s">
        <v>402</v>
      </c>
      <c r="B213" s="422" t="s">
        <v>1347</v>
      </c>
      <c r="C213" s="422" t="s">
        <v>1378</v>
      </c>
      <c r="D213" s="423" t="s">
        <v>1343</v>
      </c>
      <c r="E213" s="423" t="s">
        <v>86</v>
      </c>
      <c r="F213" s="423" t="s">
        <v>1352</v>
      </c>
      <c r="G213" s="423" t="s">
        <v>1376</v>
      </c>
      <c r="H213" s="423" t="s">
        <v>86</v>
      </c>
      <c r="I213" s="423" t="s">
        <v>86</v>
      </c>
      <c r="J213" s="423" t="s">
        <v>86</v>
      </c>
      <c r="K213" s="423" t="s">
        <v>86</v>
      </c>
      <c r="L213" s="422" t="s">
        <v>1379</v>
      </c>
      <c r="M213" s="425">
        <v>51000</v>
      </c>
      <c r="N213" s="425">
        <f>M213*НДС!$A$1</f>
        <v>59159.999999999993</v>
      </c>
      <c r="O213" s="426" t="s">
        <v>70</v>
      </c>
      <c r="P213" s="422"/>
      <c r="Q213" s="450" t="s">
        <v>61</v>
      </c>
      <c r="R213" s="423">
        <f>IF(Таблица68[[#This Row],[Столбец2]]="A",1,IF(Таблица68[[#This Row],[Столбец2]]="B",2,IF(Таблица68[[#This Row],[Столбец2]]="C",3)))</f>
        <v>2</v>
      </c>
      <c r="S213" s="413" t="s">
        <v>882</v>
      </c>
    </row>
    <row r="214" spans="1:19" ht="16.5">
      <c r="A214" s="420" t="s">
        <v>404</v>
      </c>
      <c r="B214" s="422" t="s">
        <v>1347</v>
      </c>
      <c r="C214" s="422" t="s">
        <v>1380</v>
      </c>
      <c r="D214" s="423" t="s">
        <v>1343</v>
      </c>
      <c r="E214" s="423" t="s">
        <v>86</v>
      </c>
      <c r="F214" s="423" t="s">
        <v>1355</v>
      </c>
      <c r="G214" s="423" t="s">
        <v>1376</v>
      </c>
      <c r="H214" s="423" t="s">
        <v>86</v>
      </c>
      <c r="I214" s="423" t="s">
        <v>86</v>
      </c>
      <c r="J214" s="423" t="s">
        <v>86</v>
      </c>
      <c r="K214" s="423" t="s">
        <v>86</v>
      </c>
      <c r="L214" s="422" t="s">
        <v>1381</v>
      </c>
      <c r="M214" s="425">
        <v>51000</v>
      </c>
      <c r="N214" s="425">
        <f>M214*НДС!$A$1</f>
        <v>59159.999999999993</v>
      </c>
      <c r="O214" s="426" t="s">
        <v>70</v>
      </c>
      <c r="P214" s="422"/>
      <c r="Q214" s="450" t="s">
        <v>61</v>
      </c>
      <c r="R214" s="423">
        <f>IF(Таблица68[[#This Row],[Столбец2]]="A",1,IF(Таблица68[[#This Row],[Столбец2]]="B",2,IF(Таблица68[[#This Row],[Столбец2]]="C",3)))</f>
        <v>2</v>
      </c>
      <c r="S214" s="413" t="s">
        <v>882</v>
      </c>
    </row>
    <row r="215" spans="1:19" ht="16.5">
      <c r="A215" s="420" t="s">
        <v>406</v>
      </c>
      <c r="B215" s="422" t="s">
        <v>1347</v>
      </c>
      <c r="C215" s="422" t="s">
        <v>1382</v>
      </c>
      <c r="D215" s="423" t="s">
        <v>1343</v>
      </c>
      <c r="E215" s="423" t="s">
        <v>86</v>
      </c>
      <c r="F215" s="423" t="s">
        <v>1349</v>
      </c>
      <c r="G215" s="423" t="s">
        <v>1383</v>
      </c>
      <c r="H215" s="423" t="s">
        <v>86</v>
      </c>
      <c r="I215" s="423" t="s">
        <v>86</v>
      </c>
      <c r="J215" s="423" t="s">
        <v>86</v>
      </c>
      <c r="K215" s="423" t="s">
        <v>86</v>
      </c>
      <c r="L215" s="422" t="s">
        <v>1384</v>
      </c>
      <c r="M215" s="425">
        <v>54000</v>
      </c>
      <c r="N215" s="425">
        <f>M215*НДС!$A$1</f>
        <v>62639.999999999993</v>
      </c>
      <c r="O215" s="426" t="s">
        <v>70</v>
      </c>
      <c r="P215" s="422"/>
      <c r="Q215" s="450" t="s">
        <v>61</v>
      </c>
      <c r="R215" s="423">
        <f>IF(Таблица68[[#This Row],[Столбец2]]="A",1,IF(Таблица68[[#This Row],[Столбец2]]="B",2,IF(Таблица68[[#This Row],[Столбец2]]="C",3)))</f>
        <v>2</v>
      </c>
      <c r="S215" s="413" t="s">
        <v>882</v>
      </c>
    </row>
    <row r="216" spans="1:19" ht="16.5">
      <c r="A216" s="420" t="s">
        <v>408</v>
      </c>
      <c r="B216" s="422" t="s">
        <v>1347</v>
      </c>
      <c r="C216" s="422" t="s">
        <v>1385</v>
      </c>
      <c r="D216" s="423" t="s">
        <v>1343</v>
      </c>
      <c r="E216" s="423" t="s">
        <v>86</v>
      </c>
      <c r="F216" s="423" t="s">
        <v>1352</v>
      </c>
      <c r="G216" s="423" t="s">
        <v>1383</v>
      </c>
      <c r="H216" s="423" t="s">
        <v>86</v>
      </c>
      <c r="I216" s="423" t="s">
        <v>86</v>
      </c>
      <c r="J216" s="423" t="s">
        <v>86</v>
      </c>
      <c r="K216" s="423" t="s">
        <v>86</v>
      </c>
      <c r="L216" s="422" t="s">
        <v>1386</v>
      </c>
      <c r="M216" s="425">
        <v>54000</v>
      </c>
      <c r="N216" s="425">
        <f>M216*НДС!$A$1</f>
        <v>62639.999999999993</v>
      </c>
      <c r="O216" s="426" t="s">
        <v>70</v>
      </c>
      <c r="P216" s="422"/>
      <c r="Q216" s="450" t="s">
        <v>61</v>
      </c>
      <c r="R216" s="423">
        <f>IF(Таблица68[[#This Row],[Столбец2]]="A",1,IF(Таблица68[[#This Row],[Столбец2]]="B",2,IF(Таблица68[[#This Row],[Столбец2]]="C",3)))</f>
        <v>2</v>
      </c>
      <c r="S216" s="413" t="s">
        <v>882</v>
      </c>
    </row>
    <row r="217" spans="1:19" ht="16.5">
      <c r="A217" s="420" t="s">
        <v>410</v>
      </c>
      <c r="B217" s="422" t="s">
        <v>1347</v>
      </c>
      <c r="C217" s="422" t="s">
        <v>1387</v>
      </c>
      <c r="D217" s="423" t="s">
        <v>1343</v>
      </c>
      <c r="E217" s="423" t="s">
        <v>86</v>
      </c>
      <c r="F217" s="423" t="s">
        <v>1355</v>
      </c>
      <c r="G217" s="423" t="s">
        <v>1383</v>
      </c>
      <c r="H217" s="423" t="s">
        <v>86</v>
      </c>
      <c r="I217" s="423" t="s">
        <v>86</v>
      </c>
      <c r="J217" s="423" t="s">
        <v>86</v>
      </c>
      <c r="K217" s="423" t="s">
        <v>86</v>
      </c>
      <c r="L217" s="422" t="s">
        <v>1388</v>
      </c>
      <c r="M217" s="425">
        <v>54000</v>
      </c>
      <c r="N217" s="425">
        <f>M217*НДС!$A$1</f>
        <v>62639.999999999993</v>
      </c>
      <c r="O217" s="426" t="s">
        <v>70</v>
      </c>
      <c r="P217" s="422"/>
      <c r="Q217" s="450" t="s">
        <v>61</v>
      </c>
      <c r="R217" s="423">
        <f>IF(Таблица68[[#This Row],[Столбец2]]="A",1,IF(Таблица68[[#This Row],[Столбец2]]="B",2,IF(Таблица68[[#This Row],[Столбец2]]="C",3)))</f>
        <v>2</v>
      </c>
      <c r="S217" s="413" t="s">
        <v>882</v>
      </c>
    </row>
    <row r="218" spans="1:19" ht="16.5">
      <c r="A218" s="420" t="s">
        <v>412</v>
      </c>
      <c r="B218" s="422" t="s">
        <v>1347</v>
      </c>
      <c r="C218" s="422" t="s">
        <v>1389</v>
      </c>
      <c r="D218" s="423" t="s">
        <v>1343</v>
      </c>
      <c r="E218" s="423" t="s">
        <v>86</v>
      </c>
      <c r="F218" s="423" t="s">
        <v>1349</v>
      </c>
      <c r="G218" s="423" t="s">
        <v>1390</v>
      </c>
      <c r="H218" s="423" t="s">
        <v>86</v>
      </c>
      <c r="I218" s="423" t="s">
        <v>86</v>
      </c>
      <c r="J218" s="423" t="s">
        <v>86</v>
      </c>
      <c r="K218" s="423" t="s">
        <v>86</v>
      </c>
      <c r="L218" s="422" t="s">
        <v>1391</v>
      </c>
      <c r="M218" s="425">
        <v>108000</v>
      </c>
      <c r="N218" s="425">
        <f>M218*НДС!$A$1</f>
        <v>125279.99999999999</v>
      </c>
      <c r="O218" s="426" t="s">
        <v>70</v>
      </c>
      <c r="P218" s="422"/>
      <c r="Q218" s="450" t="s">
        <v>61</v>
      </c>
      <c r="R218" s="423">
        <f>IF(Таблица68[[#This Row],[Столбец2]]="A",1,IF(Таблица68[[#This Row],[Столбец2]]="B",2,IF(Таблица68[[#This Row],[Столбец2]]="C",3)))</f>
        <v>2</v>
      </c>
      <c r="S218" s="413" t="s">
        <v>882</v>
      </c>
    </row>
    <row r="219" spans="1:19" ht="16.5">
      <c r="A219" s="420" t="s">
        <v>414</v>
      </c>
      <c r="B219" s="422" t="s">
        <v>1347</v>
      </c>
      <c r="C219" s="422" t="s">
        <v>1392</v>
      </c>
      <c r="D219" s="423" t="s">
        <v>1343</v>
      </c>
      <c r="E219" s="423" t="s">
        <v>86</v>
      </c>
      <c r="F219" s="423" t="s">
        <v>1352</v>
      </c>
      <c r="G219" s="423" t="s">
        <v>1390</v>
      </c>
      <c r="H219" s="423" t="s">
        <v>86</v>
      </c>
      <c r="I219" s="423" t="s">
        <v>86</v>
      </c>
      <c r="J219" s="423" t="s">
        <v>86</v>
      </c>
      <c r="K219" s="423" t="s">
        <v>86</v>
      </c>
      <c r="L219" s="422" t="s">
        <v>1393</v>
      </c>
      <c r="M219" s="425">
        <v>108000</v>
      </c>
      <c r="N219" s="425">
        <f>M219*НДС!$A$1</f>
        <v>125279.99999999999</v>
      </c>
      <c r="O219" s="426" t="s">
        <v>70</v>
      </c>
      <c r="P219" s="422"/>
      <c r="Q219" s="450" t="s">
        <v>61</v>
      </c>
      <c r="R219" s="423">
        <f>IF(Таблица68[[#This Row],[Столбец2]]="A",1,IF(Таблица68[[#This Row],[Столбец2]]="B",2,IF(Таблица68[[#This Row],[Столбец2]]="C",3)))</f>
        <v>2</v>
      </c>
      <c r="S219" s="413" t="s">
        <v>882</v>
      </c>
    </row>
    <row r="220" spans="1:19" ht="25">
      <c r="A220" s="420" t="s">
        <v>415</v>
      </c>
      <c r="B220" s="422" t="s">
        <v>1347</v>
      </c>
      <c r="C220" s="422" t="s">
        <v>1394</v>
      </c>
      <c r="D220" s="423" t="s">
        <v>1343</v>
      </c>
      <c r="E220" s="423" t="s">
        <v>86</v>
      </c>
      <c r="F220" s="423" t="s">
        <v>1355</v>
      </c>
      <c r="G220" s="423" t="s">
        <v>1390</v>
      </c>
      <c r="H220" s="423" t="s">
        <v>86</v>
      </c>
      <c r="I220" s="423" t="s">
        <v>86</v>
      </c>
      <c r="J220" s="423" t="s">
        <v>86</v>
      </c>
      <c r="K220" s="423" t="s">
        <v>86</v>
      </c>
      <c r="L220" s="422" t="s">
        <v>1395</v>
      </c>
      <c r="M220" s="425">
        <v>108000</v>
      </c>
      <c r="N220" s="425">
        <f>M220*НДС!$A$1</f>
        <v>125279.99999999999</v>
      </c>
      <c r="O220" s="426" t="s">
        <v>70</v>
      </c>
      <c r="P220" s="422"/>
      <c r="Q220" s="429" t="s">
        <v>65</v>
      </c>
      <c r="R220" s="423">
        <f>IF(Таблица68[[#This Row],[Столбец2]]="A",1,IF(Таблица68[[#This Row],[Столбец2]]="B",2,IF(Таблица68[[#This Row],[Столбец2]]="C",3)))</f>
        <v>3</v>
      </c>
      <c r="S220" s="413" t="s">
        <v>878</v>
      </c>
    </row>
    <row r="221" spans="1:19" ht="16.5">
      <c r="A221" s="420" t="s">
        <v>416</v>
      </c>
      <c r="B221" s="422" t="s">
        <v>1347</v>
      </c>
      <c r="C221" s="422" t="s">
        <v>1396</v>
      </c>
      <c r="D221" s="423" t="s">
        <v>1343</v>
      </c>
      <c r="E221" s="423" t="s">
        <v>86</v>
      </c>
      <c r="F221" s="423" t="s">
        <v>1349</v>
      </c>
      <c r="G221" s="423" t="s">
        <v>1397</v>
      </c>
      <c r="H221" s="423" t="s">
        <v>86</v>
      </c>
      <c r="I221" s="423" t="s">
        <v>86</v>
      </c>
      <c r="J221" s="423" t="s">
        <v>86</v>
      </c>
      <c r="K221" s="423" t="s">
        <v>86</v>
      </c>
      <c r="L221" s="422" t="s">
        <v>1398</v>
      </c>
      <c r="M221" s="425">
        <v>165000</v>
      </c>
      <c r="N221" s="425">
        <f>M221*НДС!$A$1</f>
        <v>191400</v>
      </c>
      <c r="O221" s="426" t="s">
        <v>70</v>
      </c>
      <c r="P221" s="422"/>
      <c r="Q221" s="450" t="s">
        <v>61</v>
      </c>
      <c r="R221" s="423">
        <f>IF(Таблица68[[#This Row],[Столбец2]]="A",1,IF(Таблица68[[#This Row],[Столбец2]]="B",2,IF(Таблица68[[#This Row],[Столбец2]]="C",3)))</f>
        <v>2</v>
      </c>
      <c r="S221" s="413" t="s">
        <v>882</v>
      </c>
    </row>
    <row r="222" spans="1:19" ht="25">
      <c r="A222" s="420" t="s">
        <v>417</v>
      </c>
      <c r="B222" s="422" t="s">
        <v>1347</v>
      </c>
      <c r="C222" s="422" t="s">
        <v>1399</v>
      </c>
      <c r="D222" s="423" t="s">
        <v>1343</v>
      </c>
      <c r="E222" s="423" t="s">
        <v>86</v>
      </c>
      <c r="F222" s="423" t="s">
        <v>1352</v>
      </c>
      <c r="G222" s="423" t="s">
        <v>1397</v>
      </c>
      <c r="H222" s="423" t="s">
        <v>86</v>
      </c>
      <c r="I222" s="423" t="s">
        <v>86</v>
      </c>
      <c r="J222" s="423" t="s">
        <v>86</v>
      </c>
      <c r="K222" s="423" t="s">
        <v>86</v>
      </c>
      <c r="L222" s="422" t="s">
        <v>1400</v>
      </c>
      <c r="M222" s="425">
        <v>165000</v>
      </c>
      <c r="N222" s="425">
        <f>M222*НДС!$A$1</f>
        <v>191400</v>
      </c>
      <c r="O222" s="426" t="s">
        <v>70</v>
      </c>
      <c r="P222" s="422"/>
      <c r="Q222" s="429" t="s">
        <v>65</v>
      </c>
      <c r="R222" s="423">
        <f>IF(Таблица68[[#This Row],[Столбец2]]="A",1,IF(Таблица68[[#This Row],[Столбец2]]="B",2,IF(Таблица68[[#This Row],[Столбец2]]="C",3)))</f>
        <v>3</v>
      </c>
      <c r="S222" s="413" t="s">
        <v>878</v>
      </c>
    </row>
    <row r="223" spans="1:19" ht="25">
      <c r="A223" s="420" t="s">
        <v>419</v>
      </c>
      <c r="B223" s="422" t="s">
        <v>1347</v>
      </c>
      <c r="C223" s="422" t="s">
        <v>1401</v>
      </c>
      <c r="D223" s="423" t="s">
        <v>1343</v>
      </c>
      <c r="E223" s="423" t="s">
        <v>86</v>
      </c>
      <c r="F223" s="423" t="s">
        <v>1355</v>
      </c>
      <c r="G223" s="423" t="s">
        <v>1397</v>
      </c>
      <c r="H223" s="423" t="s">
        <v>86</v>
      </c>
      <c r="I223" s="423" t="s">
        <v>86</v>
      </c>
      <c r="J223" s="423" t="s">
        <v>86</v>
      </c>
      <c r="K223" s="423" t="s">
        <v>86</v>
      </c>
      <c r="L223" s="422" t="s">
        <v>1402</v>
      </c>
      <c r="M223" s="425">
        <v>165000</v>
      </c>
      <c r="N223" s="425">
        <f>M223*НДС!$A$1</f>
        <v>191400</v>
      </c>
      <c r="O223" s="426" t="s">
        <v>70</v>
      </c>
      <c r="P223" s="422"/>
      <c r="Q223" s="429" t="s">
        <v>65</v>
      </c>
      <c r="R223" s="423">
        <f>IF(Таблица68[[#This Row],[Столбец2]]="A",1,IF(Таблица68[[#This Row],[Столбец2]]="B",2,IF(Таблица68[[#This Row],[Столбец2]]="C",3)))</f>
        <v>3</v>
      </c>
      <c r="S223" s="413" t="s">
        <v>878</v>
      </c>
    </row>
    <row r="224" spans="1:19" ht="25">
      <c r="A224" s="420" t="s">
        <v>421</v>
      </c>
      <c r="B224" s="422" t="s">
        <v>1347</v>
      </c>
      <c r="C224" s="422" t="s">
        <v>1403</v>
      </c>
      <c r="D224" s="423" t="s">
        <v>1343</v>
      </c>
      <c r="E224" s="423" t="s">
        <v>86</v>
      </c>
      <c r="F224" s="423" t="s">
        <v>1349</v>
      </c>
      <c r="G224" s="423" t="s">
        <v>1404</v>
      </c>
      <c r="H224" s="423" t="s">
        <v>86</v>
      </c>
      <c r="I224" s="423" t="s">
        <v>86</v>
      </c>
      <c r="J224" s="423" t="s">
        <v>86</v>
      </c>
      <c r="K224" s="423" t="s">
        <v>86</v>
      </c>
      <c r="L224" s="422" t="s">
        <v>1405</v>
      </c>
      <c r="M224" s="425">
        <v>213000</v>
      </c>
      <c r="N224" s="425">
        <f>M224*НДС!$A$1</f>
        <v>247079.99999999997</v>
      </c>
      <c r="O224" s="426" t="s">
        <v>70</v>
      </c>
      <c r="P224" s="422"/>
      <c r="Q224" s="429" t="s">
        <v>65</v>
      </c>
      <c r="R224" s="423">
        <f>IF(Таблица68[[#This Row],[Столбец2]]="A",1,IF(Таблица68[[#This Row],[Столбец2]]="B",2,IF(Таблица68[[#This Row],[Столбец2]]="C",3)))</f>
        <v>3</v>
      </c>
      <c r="S224" s="413" t="s">
        <v>878</v>
      </c>
    </row>
    <row r="225" spans="1:19" ht="25">
      <c r="A225" s="420" t="s">
        <v>423</v>
      </c>
      <c r="B225" s="422" t="s">
        <v>1347</v>
      </c>
      <c r="C225" s="422" t="s">
        <v>1406</v>
      </c>
      <c r="D225" s="423" t="s">
        <v>1343</v>
      </c>
      <c r="E225" s="423" t="s">
        <v>86</v>
      </c>
      <c r="F225" s="423" t="s">
        <v>1352</v>
      </c>
      <c r="G225" s="423" t="s">
        <v>1404</v>
      </c>
      <c r="H225" s="423" t="s">
        <v>86</v>
      </c>
      <c r="I225" s="423" t="s">
        <v>86</v>
      </c>
      <c r="J225" s="423" t="s">
        <v>86</v>
      </c>
      <c r="K225" s="423" t="s">
        <v>86</v>
      </c>
      <c r="L225" s="422" t="s">
        <v>1407</v>
      </c>
      <c r="M225" s="425">
        <v>213000</v>
      </c>
      <c r="N225" s="425">
        <f>M225*НДС!$A$1</f>
        <v>247079.99999999997</v>
      </c>
      <c r="O225" s="426" t="s">
        <v>70</v>
      </c>
      <c r="P225" s="422"/>
      <c r="Q225" s="429" t="s">
        <v>65</v>
      </c>
      <c r="R225" s="423">
        <f>IF(Таблица68[[#This Row],[Столбец2]]="A",1,IF(Таблица68[[#This Row],[Столбец2]]="B",2,IF(Таблица68[[#This Row],[Столбец2]]="C",3)))</f>
        <v>3</v>
      </c>
      <c r="S225" s="413" t="s">
        <v>878</v>
      </c>
    </row>
    <row r="226" spans="1:19" ht="16.5">
      <c r="A226" s="420" t="s">
        <v>425</v>
      </c>
      <c r="B226" s="422" t="s">
        <v>1347</v>
      </c>
      <c r="C226" s="422" t="s">
        <v>1408</v>
      </c>
      <c r="D226" s="423" t="s">
        <v>1343</v>
      </c>
      <c r="E226" s="423" t="s">
        <v>86</v>
      </c>
      <c r="F226" s="423" t="s">
        <v>1355</v>
      </c>
      <c r="G226" s="423" t="s">
        <v>1404</v>
      </c>
      <c r="H226" s="423" t="s">
        <v>86</v>
      </c>
      <c r="I226" s="423" t="s">
        <v>86</v>
      </c>
      <c r="J226" s="423" t="s">
        <v>86</v>
      </c>
      <c r="K226" s="423" t="s">
        <v>86</v>
      </c>
      <c r="L226" s="422" t="s">
        <v>1409</v>
      </c>
      <c r="M226" s="425">
        <v>213000</v>
      </c>
      <c r="N226" s="425">
        <f>M226*НДС!$A$1</f>
        <v>247079.99999999997</v>
      </c>
      <c r="O226" s="426" t="s">
        <v>70</v>
      </c>
      <c r="P226" s="422"/>
      <c r="Q226" s="450" t="s">
        <v>61</v>
      </c>
      <c r="R226" s="423">
        <f>IF(Таблица68[[#This Row],[Столбец2]]="A",1,IF(Таблица68[[#This Row],[Столбец2]]="B",2,IF(Таблица68[[#This Row],[Столбец2]]="C",3)))</f>
        <v>2</v>
      </c>
      <c r="S226" s="413" t="s">
        <v>882</v>
      </c>
    </row>
    <row r="227" spans="1:19" ht="25">
      <c r="A227" s="420" t="s">
        <v>427</v>
      </c>
      <c r="B227" s="422" t="s">
        <v>1347</v>
      </c>
      <c r="C227" s="422" t="s">
        <v>1410</v>
      </c>
      <c r="D227" s="423" t="s">
        <v>1343</v>
      </c>
      <c r="E227" s="423" t="s">
        <v>86</v>
      </c>
      <c r="F227" s="423" t="s">
        <v>1349</v>
      </c>
      <c r="G227" s="423" t="s">
        <v>1411</v>
      </c>
      <c r="H227" s="423" t="s">
        <v>86</v>
      </c>
      <c r="I227" s="423" t="s">
        <v>86</v>
      </c>
      <c r="J227" s="423" t="s">
        <v>86</v>
      </c>
      <c r="K227" s="423" t="s">
        <v>86</v>
      </c>
      <c r="L227" s="422" t="s">
        <v>1412</v>
      </c>
      <c r="M227" s="425">
        <v>294000</v>
      </c>
      <c r="N227" s="425">
        <f>M227*НДС!$A$1</f>
        <v>341040</v>
      </c>
      <c r="O227" s="426" t="s">
        <v>70</v>
      </c>
      <c r="P227" s="422"/>
      <c r="Q227" s="429" t="s">
        <v>65</v>
      </c>
      <c r="R227" s="423">
        <f>IF(Таблица68[[#This Row],[Столбец2]]="A",1,IF(Таблица68[[#This Row],[Столбец2]]="B",2,IF(Таблица68[[#This Row],[Столбец2]]="C",3)))</f>
        <v>3</v>
      </c>
      <c r="S227" s="413" t="s">
        <v>878</v>
      </c>
    </row>
    <row r="228" spans="1:19" ht="25">
      <c r="A228" s="420" t="s">
        <v>429</v>
      </c>
      <c r="B228" s="422" t="s">
        <v>1347</v>
      </c>
      <c r="C228" s="422" t="s">
        <v>1413</v>
      </c>
      <c r="D228" s="423" t="s">
        <v>1343</v>
      </c>
      <c r="E228" s="423" t="s">
        <v>86</v>
      </c>
      <c r="F228" s="423" t="s">
        <v>1352</v>
      </c>
      <c r="G228" s="423" t="s">
        <v>1411</v>
      </c>
      <c r="H228" s="423" t="s">
        <v>86</v>
      </c>
      <c r="I228" s="423" t="s">
        <v>86</v>
      </c>
      <c r="J228" s="423" t="s">
        <v>86</v>
      </c>
      <c r="K228" s="423" t="s">
        <v>86</v>
      </c>
      <c r="L228" s="422" t="s">
        <v>1414</v>
      </c>
      <c r="M228" s="425">
        <v>294000</v>
      </c>
      <c r="N228" s="425">
        <f>M228*НДС!$A$1</f>
        <v>341040</v>
      </c>
      <c r="O228" s="426" t="s">
        <v>70</v>
      </c>
      <c r="P228" s="422"/>
      <c r="Q228" s="429" t="s">
        <v>65</v>
      </c>
      <c r="R228" s="423">
        <f>IF(Таблица68[[#This Row],[Столбец2]]="A",1,IF(Таблица68[[#This Row],[Столбец2]]="B",2,IF(Таблица68[[#This Row],[Столбец2]]="C",3)))</f>
        <v>3</v>
      </c>
      <c r="S228" s="413" t="s">
        <v>878</v>
      </c>
    </row>
    <row r="229" spans="1:19" ht="25">
      <c r="A229" s="420" t="s">
        <v>431</v>
      </c>
      <c r="B229" s="422" t="s">
        <v>1347</v>
      </c>
      <c r="C229" s="422" t="s">
        <v>1415</v>
      </c>
      <c r="D229" s="423" t="s">
        <v>1343</v>
      </c>
      <c r="E229" s="423" t="s">
        <v>86</v>
      </c>
      <c r="F229" s="423" t="s">
        <v>1355</v>
      </c>
      <c r="G229" s="423" t="s">
        <v>1411</v>
      </c>
      <c r="H229" s="423" t="s">
        <v>86</v>
      </c>
      <c r="I229" s="423" t="s">
        <v>86</v>
      </c>
      <c r="J229" s="423" t="s">
        <v>86</v>
      </c>
      <c r="K229" s="423" t="s">
        <v>86</v>
      </c>
      <c r="L229" s="422" t="s">
        <v>1416</v>
      </c>
      <c r="M229" s="425">
        <v>294000</v>
      </c>
      <c r="N229" s="425">
        <f>M229*НДС!$A$1</f>
        <v>341040</v>
      </c>
      <c r="O229" s="426" t="s">
        <v>70</v>
      </c>
      <c r="P229" s="422"/>
      <c r="Q229" s="429" t="s">
        <v>65</v>
      </c>
      <c r="R229" s="423">
        <f>IF(Таблица68[[#This Row],[Столбец2]]="A",1,IF(Таблица68[[#This Row],[Столбец2]]="B",2,IF(Таблица68[[#This Row],[Столбец2]]="C",3)))</f>
        <v>3</v>
      </c>
      <c r="S229" s="413" t="s">
        <v>878</v>
      </c>
    </row>
    <row r="230" spans="1:19" ht="25">
      <c r="A230" s="420" t="s">
        <v>433</v>
      </c>
      <c r="B230" s="422" t="s">
        <v>1347</v>
      </c>
      <c r="C230" s="422" t="s">
        <v>1417</v>
      </c>
      <c r="D230" s="423" t="s">
        <v>1343</v>
      </c>
      <c r="E230" s="423" t="s">
        <v>86</v>
      </c>
      <c r="F230" s="423" t="s">
        <v>1349</v>
      </c>
      <c r="G230" s="423" t="s">
        <v>1418</v>
      </c>
      <c r="H230" s="423" t="s">
        <v>86</v>
      </c>
      <c r="I230" s="423" t="s">
        <v>86</v>
      </c>
      <c r="J230" s="423" t="s">
        <v>86</v>
      </c>
      <c r="K230" s="423" t="s">
        <v>86</v>
      </c>
      <c r="L230" s="422" t="s">
        <v>1419</v>
      </c>
      <c r="M230" s="425">
        <v>480000</v>
      </c>
      <c r="N230" s="425">
        <f>M230*НДС!$A$1</f>
        <v>556800</v>
      </c>
      <c r="O230" s="426" t="s">
        <v>70</v>
      </c>
      <c r="P230" s="422"/>
      <c r="Q230" s="429" t="s">
        <v>65</v>
      </c>
      <c r="R230" s="423">
        <f>IF(Таблица68[[#This Row],[Столбец2]]="A",1,IF(Таблица68[[#This Row],[Столбец2]]="B",2,IF(Таблица68[[#This Row],[Столбец2]]="C",3)))</f>
        <v>3</v>
      </c>
      <c r="S230" s="413" t="s">
        <v>878</v>
      </c>
    </row>
    <row r="231" spans="1:19" ht="25">
      <c r="A231" s="420" t="s">
        <v>435</v>
      </c>
      <c r="B231" s="422" t="s">
        <v>1347</v>
      </c>
      <c r="C231" s="422" t="s">
        <v>1420</v>
      </c>
      <c r="D231" s="423" t="s">
        <v>1343</v>
      </c>
      <c r="E231" s="423" t="s">
        <v>86</v>
      </c>
      <c r="F231" s="423" t="s">
        <v>1352</v>
      </c>
      <c r="G231" s="423" t="s">
        <v>1418</v>
      </c>
      <c r="H231" s="423" t="s">
        <v>86</v>
      </c>
      <c r="I231" s="423" t="s">
        <v>86</v>
      </c>
      <c r="J231" s="423" t="s">
        <v>86</v>
      </c>
      <c r="K231" s="423" t="s">
        <v>86</v>
      </c>
      <c r="L231" s="422" t="s">
        <v>1421</v>
      </c>
      <c r="M231" s="425">
        <v>480000</v>
      </c>
      <c r="N231" s="425">
        <f>M231*НДС!$A$1</f>
        <v>556800</v>
      </c>
      <c r="O231" s="426" t="s">
        <v>70</v>
      </c>
      <c r="P231" s="422"/>
      <c r="Q231" s="429" t="s">
        <v>65</v>
      </c>
      <c r="R231" s="423">
        <f>IF(Таблица68[[#This Row],[Столбец2]]="A",1,IF(Таблица68[[#This Row],[Столбец2]]="B",2,IF(Таблица68[[#This Row],[Столбец2]]="C",3)))</f>
        <v>3</v>
      </c>
      <c r="S231" s="413" t="s">
        <v>878</v>
      </c>
    </row>
    <row r="232" spans="1:19" ht="25">
      <c r="A232" s="420" t="s">
        <v>1422</v>
      </c>
      <c r="B232" s="422" t="s">
        <v>1347</v>
      </c>
      <c r="C232" s="422" t="s">
        <v>1423</v>
      </c>
      <c r="D232" s="423" t="s">
        <v>1343</v>
      </c>
      <c r="E232" s="423" t="s">
        <v>86</v>
      </c>
      <c r="F232" s="423" t="s">
        <v>1355</v>
      </c>
      <c r="G232" s="423" t="s">
        <v>1418</v>
      </c>
      <c r="H232" s="423" t="s">
        <v>86</v>
      </c>
      <c r="I232" s="423" t="s">
        <v>86</v>
      </c>
      <c r="J232" s="423" t="s">
        <v>86</v>
      </c>
      <c r="K232" s="423" t="s">
        <v>86</v>
      </c>
      <c r="L232" s="422" t="s">
        <v>1424</v>
      </c>
      <c r="M232" s="425">
        <v>480000</v>
      </c>
      <c r="N232" s="425">
        <f>M232*НДС!$A$1</f>
        <v>556800</v>
      </c>
      <c r="O232" s="426" t="s">
        <v>70</v>
      </c>
      <c r="P232" s="422"/>
      <c r="Q232" s="429" t="s">
        <v>65</v>
      </c>
      <c r="R232" s="423">
        <f>IF(Таблица68[[#This Row],[Столбец2]]="A",1,IF(Таблица68[[#This Row],[Столбец2]]="B",2,IF(Таблица68[[#This Row],[Столбец2]]="C",3)))</f>
        <v>3</v>
      </c>
      <c r="S232" s="413" t="s">
        <v>878</v>
      </c>
    </row>
    <row r="233" spans="1:19" ht="25">
      <c r="A233" s="420" t="s">
        <v>1425</v>
      </c>
      <c r="B233" s="422" t="s">
        <v>1426</v>
      </c>
      <c r="C233" s="422" t="s">
        <v>1427</v>
      </c>
      <c r="D233" s="423" t="s">
        <v>1428</v>
      </c>
      <c r="E233" s="423" t="s">
        <v>1429</v>
      </c>
      <c r="F233" s="423" t="s">
        <v>1430</v>
      </c>
      <c r="G233" s="423">
        <v>25</v>
      </c>
      <c r="H233" s="423">
        <v>52</v>
      </c>
      <c r="I233" s="423" t="s">
        <v>1431</v>
      </c>
      <c r="J233" s="423" t="s">
        <v>1432</v>
      </c>
      <c r="K233" s="424" t="s">
        <v>925</v>
      </c>
      <c r="L233" s="422" t="s">
        <v>1433</v>
      </c>
      <c r="M233" s="425">
        <v>240000</v>
      </c>
      <c r="N233" s="425">
        <f>M233*НДС!$A$1</f>
        <v>278400</v>
      </c>
      <c r="O233" s="426" t="s">
        <v>70</v>
      </c>
      <c r="P233" s="422"/>
      <c r="Q233" s="429" t="s">
        <v>65</v>
      </c>
      <c r="R233" s="423" t="e">
        <f>IF(Таблица68[[#This Row],[Столбец2]]="A",1,IF(Таблица68[[#This Row],[Столбец2]]="B",2,IF(Таблица68[[#This Row],[Столбец2]]="C",3)))</f>
        <v>#N/A</v>
      </c>
      <c r="S233" s="413" t="e">
        <f>#N/A</f>
        <v>#N/A</v>
      </c>
    </row>
    <row r="234" spans="1:19" ht="25">
      <c r="A234" s="420" t="s">
        <v>1434</v>
      </c>
      <c r="B234" s="422" t="s">
        <v>1426</v>
      </c>
      <c r="C234" s="422" t="s">
        <v>1435</v>
      </c>
      <c r="D234" s="423" t="s">
        <v>1428</v>
      </c>
      <c r="E234" s="423" t="s">
        <v>1436</v>
      </c>
      <c r="F234" s="423" t="s">
        <v>1430</v>
      </c>
      <c r="G234" s="423">
        <v>32</v>
      </c>
      <c r="H234" s="423">
        <v>52</v>
      </c>
      <c r="I234" s="423" t="s">
        <v>1431</v>
      </c>
      <c r="J234" s="423" t="s">
        <v>1432</v>
      </c>
      <c r="K234" s="424" t="s">
        <v>925</v>
      </c>
      <c r="L234" s="422" t="s">
        <v>1437</v>
      </c>
      <c r="M234" s="425">
        <v>258000</v>
      </c>
      <c r="N234" s="425">
        <f>M234*НДС!$A$1</f>
        <v>299280</v>
      </c>
      <c r="O234" s="426" t="s">
        <v>70</v>
      </c>
      <c r="P234" s="422"/>
      <c r="Q234" s="429" t="s">
        <v>65</v>
      </c>
      <c r="R234" s="423" t="e">
        <f>IF(Таблица68[[#This Row],[Столбец2]]="A",1,IF(Таблица68[[#This Row],[Столбец2]]="B",2,IF(Таблица68[[#This Row],[Столбец2]]="C",3)))</f>
        <v>#N/A</v>
      </c>
      <c r="S234" s="413" t="e">
        <f>#N/A</f>
        <v>#N/A</v>
      </c>
    </row>
    <row r="235" spans="1:19" ht="25">
      <c r="A235" s="420" t="s">
        <v>1438</v>
      </c>
      <c r="B235" s="422" t="s">
        <v>1426</v>
      </c>
      <c r="C235" s="422" t="s">
        <v>1439</v>
      </c>
      <c r="D235" s="423" t="s">
        <v>1428</v>
      </c>
      <c r="E235" s="423" t="s">
        <v>1440</v>
      </c>
      <c r="F235" s="423" t="s">
        <v>1430</v>
      </c>
      <c r="G235" s="423">
        <v>40</v>
      </c>
      <c r="H235" s="423">
        <v>52</v>
      </c>
      <c r="I235" s="423" t="s">
        <v>1431</v>
      </c>
      <c r="J235" s="423" t="s">
        <v>1432</v>
      </c>
      <c r="K235" s="424" t="s">
        <v>925</v>
      </c>
      <c r="L235" s="422" t="s">
        <v>1441</v>
      </c>
      <c r="M235" s="425">
        <v>324000</v>
      </c>
      <c r="N235" s="425">
        <f>M235*НДС!$A$1</f>
        <v>375840</v>
      </c>
      <c r="O235" s="426" t="s">
        <v>70</v>
      </c>
      <c r="P235" s="422"/>
      <c r="Q235" s="429" t="s">
        <v>65</v>
      </c>
      <c r="R235" s="423" t="e">
        <f>IF(Таблица68[[#This Row],[Столбец2]]="A",1,IF(Таблица68[[#This Row],[Столбец2]]="B",2,IF(Таблица68[[#This Row],[Столбец2]]="C",3)))</f>
        <v>#N/A</v>
      </c>
      <c r="S235" s="413" t="e">
        <f>#N/A</f>
        <v>#N/A</v>
      </c>
    </row>
    <row r="236" spans="1:19" ht="25">
      <c r="A236" s="420" t="s">
        <v>1442</v>
      </c>
      <c r="B236" s="422" t="s">
        <v>1426</v>
      </c>
      <c r="C236" s="422" t="s">
        <v>1443</v>
      </c>
      <c r="D236" s="423" t="s">
        <v>1428</v>
      </c>
      <c r="E236" s="423" t="s">
        <v>1444</v>
      </c>
      <c r="F236" s="423" t="s">
        <v>1430</v>
      </c>
      <c r="G236" s="423">
        <v>50</v>
      </c>
      <c r="H236" s="423">
        <v>52</v>
      </c>
      <c r="I236" s="423" t="s">
        <v>1431</v>
      </c>
      <c r="J236" s="423" t="s">
        <v>1432</v>
      </c>
      <c r="K236" s="424" t="s">
        <v>925</v>
      </c>
      <c r="L236" s="422" t="s">
        <v>1445</v>
      </c>
      <c r="M236" s="425">
        <v>366000</v>
      </c>
      <c r="N236" s="425">
        <f>M236*НДС!$A$1</f>
        <v>424559.99999999994</v>
      </c>
      <c r="O236" s="426" t="s">
        <v>70</v>
      </c>
      <c r="P236" s="422"/>
      <c r="Q236" s="429" t="s">
        <v>65</v>
      </c>
      <c r="R236" s="423" t="e">
        <f>IF(Таблица68[[#This Row],[Столбец2]]="A",1,IF(Таблица68[[#This Row],[Столбец2]]="B",2,IF(Таблица68[[#This Row],[Столбец2]]="C",3)))</f>
        <v>#N/A</v>
      </c>
      <c r="S236" s="413" t="e">
        <f>#N/A</f>
        <v>#N/A</v>
      </c>
    </row>
    <row r="237" spans="1:19" ht="25">
      <c r="A237" s="420" t="s">
        <v>1446</v>
      </c>
      <c r="B237" s="422" t="s">
        <v>1426</v>
      </c>
      <c r="C237" s="422" t="s">
        <v>1447</v>
      </c>
      <c r="D237" s="423" t="s">
        <v>1428</v>
      </c>
      <c r="E237" s="423" t="s">
        <v>1448</v>
      </c>
      <c r="F237" s="423" t="s">
        <v>1430</v>
      </c>
      <c r="G237" s="423">
        <v>65</v>
      </c>
      <c r="H237" s="423">
        <v>52</v>
      </c>
      <c r="I237" s="423" t="s">
        <v>1431</v>
      </c>
      <c r="J237" s="423" t="s">
        <v>1432</v>
      </c>
      <c r="K237" s="424" t="s">
        <v>925</v>
      </c>
      <c r="L237" s="422" t="s">
        <v>1449</v>
      </c>
      <c r="M237" s="425">
        <v>630000</v>
      </c>
      <c r="N237" s="425">
        <f>M237*НДС!$A$1</f>
        <v>730800</v>
      </c>
      <c r="O237" s="426" t="s">
        <v>70</v>
      </c>
      <c r="P237" s="422"/>
      <c r="Q237" s="429" t="s">
        <v>65</v>
      </c>
      <c r="R237" s="423" t="e">
        <f>IF(Таблица68[[#This Row],[Столбец2]]="A",1,IF(Таблица68[[#This Row],[Столбец2]]="B",2,IF(Таблица68[[#This Row],[Столбец2]]="C",3)))</f>
        <v>#N/A</v>
      </c>
      <c r="S237" s="413" t="e">
        <f>#N/A</f>
        <v>#N/A</v>
      </c>
    </row>
    <row r="238" spans="1:19" ht="25">
      <c r="A238" s="420" t="s">
        <v>1450</v>
      </c>
      <c r="B238" s="422" t="s">
        <v>1426</v>
      </c>
      <c r="C238" s="422" t="s">
        <v>1451</v>
      </c>
      <c r="D238" s="423" t="s">
        <v>1428</v>
      </c>
      <c r="E238" s="423" t="s">
        <v>1452</v>
      </c>
      <c r="F238" s="423" t="s">
        <v>1430</v>
      </c>
      <c r="G238" s="423">
        <v>80</v>
      </c>
      <c r="H238" s="423">
        <v>52</v>
      </c>
      <c r="I238" s="423" t="s">
        <v>1431</v>
      </c>
      <c r="J238" s="423" t="s">
        <v>1432</v>
      </c>
      <c r="K238" s="424" t="s">
        <v>925</v>
      </c>
      <c r="L238" s="422" t="s">
        <v>1453</v>
      </c>
      <c r="M238" s="425">
        <v>660000</v>
      </c>
      <c r="N238" s="425">
        <f>M238*НДС!$A$1</f>
        <v>765600</v>
      </c>
      <c r="O238" s="426" t="s">
        <v>70</v>
      </c>
      <c r="P238" s="422"/>
      <c r="Q238" s="429" t="s">
        <v>65</v>
      </c>
      <c r="R238" s="423" t="e">
        <f>IF(Таблица68[[#This Row],[Столбец2]]="A",1,IF(Таблица68[[#This Row],[Столбец2]]="B",2,IF(Таблица68[[#This Row],[Столбец2]]="C",3)))</f>
        <v>#N/A</v>
      </c>
      <c r="S238" s="413" t="e">
        <f>#N/A</f>
        <v>#N/A</v>
      </c>
    </row>
    <row r="239" spans="1:19" ht="16.5">
      <c r="A239" s="420" t="s">
        <v>684</v>
      </c>
      <c r="B239" s="422" t="s">
        <v>1454</v>
      </c>
      <c r="C239" s="422" t="s">
        <v>1455</v>
      </c>
      <c r="D239" s="423" t="s">
        <v>1456</v>
      </c>
      <c r="E239" s="423"/>
      <c r="F239" s="423" t="s">
        <v>1457</v>
      </c>
      <c r="G239" s="423" t="s">
        <v>1458</v>
      </c>
      <c r="H239" s="423" t="s">
        <v>86</v>
      </c>
      <c r="I239" s="423" t="s">
        <v>1431</v>
      </c>
      <c r="J239" s="423" t="s">
        <v>1432</v>
      </c>
      <c r="K239" s="423" t="s">
        <v>86</v>
      </c>
      <c r="L239" s="422" t="s">
        <v>1459</v>
      </c>
      <c r="M239" s="425">
        <v>111000</v>
      </c>
      <c r="N239" s="425">
        <f>M239*НДС!$A$1</f>
        <v>128759.99999999999</v>
      </c>
      <c r="O239" s="426" t="s">
        <v>70</v>
      </c>
      <c r="P239" s="422"/>
      <c r="Q239" s="450" t="s">
        <v>61</v>
      </c>
      <c r="R239" s="423">
        <f>IF(Таблица68[[#This Row],[Столбец2]]="A",1,IF(Таблица68[[#This Row],[Столбец2]]="B",2,IF(Таблица68[[#This Row],[Столбец2]]="C",3)))</f>
        <v>2</v>
      </c>
      <c r="S239" s="413" t="s">
        <v>882</v>
      </c>
    </row>
    <row r="240" spans="1:19" ht="16.5">
      <c r="A240" s="420" t="s">
        <v>686</v>
      </c>
      <c r="B240" s="422" t="s">
        <v>1454</v>
      </c>
      <c r="C240" s="422" t="s">
        <v>1460</v>
      </c>
      <c r="D240" s="423" t="s">
        <v>1456</v>
      </c>
      <c r="E240" s="423"/>
      <c r="F240" s="423" t="s">
        <v>1461</v>
      </c>
      <c r="G240" s="423" t="s">
        <v>1458</v>
      </c>
      <c r="H240" s="423" t="s">
        <v>86</v>
      </c>
      <c r="I240" s="423" t="s">
        <v>1431</v>
      </c>
      <c r="J240" s="423" t="s">
        <v>1432</v>
      </c>
      <c r="K240" s="423" t="s">
        <v>86</v>
      </c>
      <c r="L240" s="422" t="s">
        <v>1462</v>
      </c>
      <c r="M240" s="425">
        <v>111000</v>
      </c>
      <c r="N240" s="425">
        <f>M240*НДС!$A$1</f>
        <v>128759.99999999999</v>
      </c>
      <c r="O240" s="426" t="s">
        <v>70</v>
      </c>
      <c r="P240" s="422"/>
      <c r="Q240" s="450" t="s">
        <v>61</v>
      </c>
      <c r="R240" s="423">
        <f>IF(Таблица68[[#This Row],[Столбец2]]="A",1,IF(Таблица68[[#This Row],[Столбец2]]="B",2,IF(Таблица68[[#This Row],[Столбец2]]="C",3)))</f>
        <v>2</v>
      </c>
      <c r="S240" s="413" t="s">
        <v>882</v>
      </c>
    </row>
    <row r="241" spans="1:19" ht="16.5">
      <c r="A241" s="420" t="s">
        <v>688</v>
      </c>
      <c r="B241" s="422" t="s">
        <v>1454</v>
      </c>
      <c r="C241" s="422" t="s">
        <v>1463</v>
      </c>
      <c r="D241" s="423" t="s">
        <v>1456</v>
      </c>
      <c r="E241" s="423"/>
      <c r="F241" s="423" t="s">
        <v>1457</v>
      </c>
      <c r="G241" s="423" t="s">
        <v>1464</v>
      </c>
      <c r="H241" s="423" t="s">
        <v>86</v>
      </c>
      <c r="I241" s="423" t="s">
        <v>1431</v>
      </c>
      <c r="J241" s="423" t="s">
        <v>1432</v>
      </c>
      <c r="K241" s="423" t="s">
        <v>86</v>
      </c>
      <c r="L241" s="422" t="s">
        <v>1465</v>
      </c>
      <c r="M241" s="425">
        <v>111000</v>
      </c>
      <c r="N241" s="425">
        <f>M241*НДС!$A$1</f>
        <v>128759.99999999999</v>
      </c>
      <c r="O241" s="426" t="s">
        <v>70</v>
      </c>
      <c r="P241" s="422"/>
      <c r="Q241" s="450" t="s">
        <v>61</v>
      </c>
      <c r="R241" s="423">
        <f>IF(Таблица68[[#This Row],[Столбец2]]="A",1,IF(Таблица68[[#This Row],[Столбец2]]="B",2,IF(Таблица68[[#This Row],[Столбец2]]="C",3)))</f>
        <v>2</v>
      </c>
      <c r="S241" s="413" t="s">
        <v>882</v>
      </c>
    </row>
    <row r="242" spans="1:19" ht="16.5">
      <c r="A242" s="420" t="s">
        <v>690</v>
      </c>
      <c r="B242" s="422" t="s">
        <v>1454</v>
      </c>
      <c r="C242" s="422" t="s">
        <v>1466</v>
      </c>
      <c r="D242" s="423" t="s">
        <v>1456</v>
      </c>
      <c r="E242" s="423"/>
      <c r="F242" s="423" t="s">
        <v>1461</v>
      </c>
      <c r="G242" s="423" t="s">
        <v>1464</v>
      </c>
      <c r="H242" s="423" t="s">
        <v>86</v>
      </c>
      <c r="I242" s="423" t="s">
        <v>1431</v>
      </c>
      <c r="J242" s="423" t="s">
        <v>1432</v>
      </c>
      <c r="K242" s="423" t="s">
        <v>86</v>
      </c>
      <c r="L242" s="422" t="s">
        <v>1467</v>
      </c>
      <c r="M242" s="425">
        <v>111000</v>
      </c>
      <c r="N242" s="425">
        <f>M242*НДС!$A$1</f>
        <v>128759.99999999999</v>
      </c>
      <c r="O242" s="426" t="s">
        <v>70</v>
      </c>
      <c r="P242" s="422"/>
      <c r="Q242" s="450" t="s">
        <v>61</v>
      </c>
      <c r="R242" s="423">
        <f>IF(Таблица68[[#This Row],[Столбец2]]="A",1,IF(Таблица68[[#This Row],[Столбец2]]="B",2,IF(Таблица68[[#This Row],[Столбец2]]="C",3)))</f>
        <v>2</v>
      </c>
      <c r="S242" s="413" t="s">
        <v>882</v>
      </c>
    </row>
    <row r="243" spans="1:19" ht="28">
      <c r="A243" s="420" t="s">
        <v>457</v>
      </c>
      <c r="B243" s="422" t="s">
        <v>1468</v>
      </c>
      <c r="C243" s="422" t="s">
        <v>1469</v>
      </c>
      <c r="D243" s="423" t="s">
        <v>1470</v>
      </c>
      <c r="E243" s="423" t="s">
        <v>1471</v>
      </c>
      <c r="F243" s="423" t="s">
        <v>267</v>
      </c>
      <c r="G243" s="423">
        <v>8</v>
      </c>
      <c r="H243" s="423">
        <v>52</v>
      </c>
      <c r="I243" s="423" t="s">
        <v>1472</v>
      </c>
      <c r="J243" s="423" t="s">
        <v>924</v>
      </c>
      <c r="K243" s="423"/>
      <c r="L243" s="422" t="s">
        <v>1473</v>
      </c>
      <c r="M243" s="425">
        <v>186000</v>
      </c>
      <c r="N243" s="425">
        <f>M243*НДС!$A$1</f>
        <v>215759.99999999997</v>
      </c>
      <c r="O243" s="426" t="s">
        <v>70</v>
      </c>
      <c r="P243" s="422"/>
      <c r="Q243" s="450" t="s">
        <v>61</v>
      </c>
      <c r="R243" s="423">
        <f>IF(Таблица68[[#This Row],[Столбец2]]="A",1,IF(Таблица68[[#This Row],[Столбец2]]="B",2,IF(Таблица68[[#This Row],[Столбец2]]="C",3)))</f>
        <v>2</v>
      </c>
      <c r="S243" s="413" t="s">
        <v>882</v>
      </c>
    </row>
    <row r="244" spans="1:19" ht="28">
      <c r="A244" s="420" t="s">
        <v>461</v>
      </c>
      <c r="B244" s="422" t="s">
        <v>1468</v>
      </c>
      <c r="C244" s="422" t="s">
        <v>1474</v>
      </c>
      <c r="D244" s="423" t="s">
        <v>1470</v>
      </c>
      <c r="E244" s="423" t="s">
        <v>1475</v>
      </c>
      <c r="F244" s="423" t="s">
        <v>267</v>
      </c>
      <c r="G244" s="423">
        <v>8</v>
      </c>
      <c r="H244" s="423">
        <v>52</v>
      </c>
      <c r="I244" s="423" t="s">
        <v>1472</v>
      </c>
      <c r="J244" s="423" t="s">
        <v>924</v>
      </c>
      <c r="K244" s="423"/>
      <c r="L244" s="422" t="s">
        <v>1476</v>
      </c>
      <c r="M244" s="425">
        <v>186000</v>
      </c>
      <c r="N244" s="425">
        <f>M244*НДС!$A$1</f>
        <v>215759.99999999997</v>
      </c>
      <c r="O244" s="426" t="s">
        <v>70</v>
      </c>
      <c r="P244" s="422"/>
      <c r="Q244" s="450" t="s">
        <v>61</v>
      </c>
      <c r="R244" s="423">
        <f>IF(Таблица68[[#This Row],[Столбец2]]="A",1,IF(Таблица68[[#This Row],[Столбец2]]="B",2,IF(Таблица68[[#This Row],[Столбец2]]="C",3)))</f>
        <v>2</v>
      </c>
      <c r="S244" s="413" t="s">
        <v>882</v>
      </c>
    </row>
    <row r="245" spans="1:19" ht="28">
      <c r="A245" s="420" t="s">
        <v>462</v>
      </c>
      <c r="B245" s="422" t="s">
        <v>1468</v>
      </c>
      <c r="C245" s="422" t="s">
        <v>1477</v>
      </c>
      <c r="D245" s="423" t="s">
        <v>1470</v>
      </c>
      <c r="E245" s="423" t="s">
        <v>1478</v>
      </c>
      <c r="F245" s="423" t="s">
        <v>267</v>
      </c>
      <c r="G245" s="423">
        <v>8</v>
      </c>
      <c r="H245" s="423">
        <v>52</v>
      </c>
      <c r="I245" s="423" t="s">
        <v>1472</v>
      </c>
      <c r="J245" s="423" t="s">
        <v>924</v>
      </c>
      <c r="K245" s="423"/>
      <c r="L245" s="422" t="s">
        <v>1479</v>
      </c>
      <c r="M245" s="425">
        <v>186000</v>
      </c>
      <c r="N245" s="425">
        <f>M245*НДС!$A$1</f>
        <v>215759.99999999997</v>
      </c>
      <c r="O245" s="426" t="s">
        <v>70</v>
      </c>
      <c r="P245" s="422"/>
      <c r="Q245" s="450" t="s">
        <v>61</v>
      </c>
      <c r="R245" s="423">
        <f>IF(Таблица68[[#This Row],[Столбец2]]="A",1,IF(Таблица68[[#This Row],[Столбец2]]="B",2,IF(Таблица68[[#This Row],[Столбец2]]="C",3)))</f>
        <v>2</v>
      </c>
      <c r="S245" s="413" t="s">
        <v>882</v>
      </c>
    </row>
    <row r="246" spans="1:19" ht="30.75" customHeight="1">
      <c r="A246" s="420" t="s">
        <v>463</v>
      </c>
      <c r="B246" s="422" t="s">
        <v>1468</v>
      </c>
      <c r="C246" s="422" t="s">
        <v>1480</v>
      </c>
      <c r="D246" s="423" t="s">
        <v>1470</v>
      </c>
      <c r="E246" s="423" t="s">
        <v>1481</v>
      </c>
      <c r="F246" s="423" t="s">
        <v>267</v>
      </c>
      <c r="G246" s="423">
        <v>8</v>
      </c>
      <c r="H246" s="423">
        <v>40</v>
      </c>
      <c r="I246" s="423" t="s">
        <v>1472</v>
      </c>
      <c r="J246" s="423" t="s">
        <v>888</v>
      </c>
      <c r="K246" s="423" t="s">
        <v>86</v>
      </c>
      <c r="L246" s="422" t="s">
        <v>1482</v>
      </c>
      <c r="M246" s="425">
        <v>96000</v>
      </c>
      <c r="N246" s="425">
        <f>M246*НДС!$A$1</f>
        <v>111359.99999999999</v>
      </c>
      <c r="O246" s="426" t="s">
        <v>70</v>
      </c>
      <c r="P246" s="422"/>
      <c r="Q246" s="450" t="s">
        <v>61</v>
      </c>
      <c r="R246" s="423">
        <f>IF(Таблица68[[#This Row],[Столбец2]]="A",1,IF(Таблица68[[#This Row],[Столбец2]]="B",2,IF(Таблица68[[#This Row],[Столбец2]]="C",3)))</f>
        <v>2</v>
      </c>
      <c r="S246" s="413" t="s">
        <v>882</v>
      </c>
    </row>
    <row r="247" spans="1:19" ht="27" customHeight="1">
      <c r="A247" s="420" t="s">
        <v>464</v>
      </c>
      <c r="B247" s="422" t="s">
        <v>1468</v>
      </c>
      <c r="C247" s="422" t="s">
        <v>1483</v>
      </c>
      <c r="D247" s="423" t="s">
        <v>1470</v>
      </c>
      <c r="E247" s="423" t="s">
        <v>1484</v>
      </c>
      <c r="F247" s="423" t="s">
        <v>257</v>
      </c>
      <c r="G247" s="423">
        <v>8</v>
      </c>
      <c r="H247" s="423">
        <v>40</v>
      </c>
      <c r="I247" s="423" t="s">
        <v>1472</v>
      </c>
      <c r="J247" s="423" t="s">
        <v>888</v>
      </c>
      <c r="K247" s="423" t="s">
        <v>86</v>
      </c>
      <c r="L247" s="422" t="s">
        <v>1485</v>
      </c>
      <c r="M247" s="425">
        <v>96000</v>
      </c>
      <c r="N247" s="425">
        <f>M247*НДС!$A$1</f>
        <v>111359.99999999999</v>
      </c>
      <c r="O247" s="426" t="s">
        <v>70</v>
      </c>
      <c r="P247" s="422"/>
      <c r="Q247" s="429" t="s">
        <v>65</v>
      </c>
      <c r="R247" s="423">
        <f>IF(Таблица68[[#This Row],[Столбец2]]="A",1,IF(Таблица68[[#This Row],[Столбец2]]="B",2,IF(Таблица68[[#This Row],[Столбец2]]="C",3)))</f>
        <v>3</v>
      </c>
      <c r="S247" s="413" t="s">
        <v>878</v>
      </c>
    </row>
    <row r="248" spans="1:19" ht="34.5" customHeight="1">
      <c r="A248" s="420" t="s">
        <v>465</v>
      </c>
      <c r="B248" s="422" t="s">
        <v>1468</v>
      </c>
      <c r="C248" s="422" t="s">
        <v>1486</v>
      </c>
      <c r="D248" s="423" t="s">
        <v>1470</v>
      </c>
      <c r="E248" s="423" t="s">
        <v>1487</v>
      </c>
      <c r="F248" s="423" t="s">
        <v>267</v>
      </c>
      <c r="G248" s="423">
        <v>8</v>
      </c>
      <c r="H248" s="423">
        <v>40</v>
      </c>
      <c r="I248" s="423" t="s">
        <v>1472</v>
      </c>
      <c r="J248" s="423" t="s">
        <v>888</v>
      </c>
      <c r="K248" s="424"/>
      <c r="L248" s="422" t="s">
        <v>1488</v>
      </c>
      <c r="M248" s="425">
        <v>96000</v>
      </c>
      <c r="N248" s="425">
        <f>M248*НДС!$A$1</f>
        <v>111359.99999999999</v>
      </c>
      <c r="O248" s="426" t="s">
        <v>70</v>
      </c>
      <c r="P248" s="422"/>
      <c r="Q248" s="429" t="s">
        <v>65</v>
      </c>
      <c r="R248" s="423">
        <f>IF(Таблица68[[#This Row],[Столбец2]]="A",1,IF(Таблица68[[#This Row],[Столбец2]]="B",2,IF(Таблица68[[#This Row],[Столбец2]]="C",3)))</f>
        <v>3</v>
      </c>
      <c r="S248" s="413" t="s">
        <v>878</v>
      </c>
    </row>
    <row r="249" spans="1:19" ht="33.75" customHeight="1">
      <c r="A249" s="435" t="s">
        <v>467</v>
      </c>
      <c r="B249" s="436" t="s">
        <v>1468</v>
      </c>
      <c r="C249" s="436" t="s">
        <v>1489</v>
      </c>
      <c r="D249" s="437" t="s">
        <v>1470</v>
      </c>
      <c r="E249" s="437" t="s">
        <v>1490</v>
      </c>
      <c r="F249" s="437" t="s">
        <v>267</v>
      </c>
      <c r="G249" s="437">
        <v>8</v>
      </c>
      <c r="H249" s="437">
        <v>40</v>
      </c>
      <c r="I249" s="437" t="s">
        <v>1472</v>
      </c>
      <c r="J249" s="437" t="s">
        <v>888</v>
      </c>
      <c r="K249" s="439"/>
      <c r="L249" s="436" t="s">
        <v>1491</v>
      </c>
      <c r="M249" s="425">
        <v>96000</v>
      </c>
      <c r="N249" s="425">
        <f>M249*НДС!$A$1</f>
        <v>111359.99999999999</v>
      </c>
      <c r="O249" s="441" t="s">
        <v>70</v>
      </c>
      <c r="P249" s="436"/>
      <c r="Q249" s="429" t="s">
        <v>65</v>
      </c>
      <c r="R249" s="423">
        <f>IF(Таблица68[[#This Row],[Столбец2]]="A",1,IF(Таблица68[[#This Row],[Столбец2]]="B",2,IF(Таблица68[[#This Row],[Столбец2]]="C",3)))</f>
        <v>3</v>
      </c>
      <c r="S249" s="413" t="s">
        <v>878</v>
      </c>
    </row>
    <row r="250" spans="1:19" ht="28">
      <c r="A250" s="423" t="s">
        <v>500</v>
      </c>
      <c r="B250" s="422" t="s">
        <v>1492</v>
      </c>
      <c r="C250" s="422" t="s">
        <v>1492</v>
      </c>
      <c r="D250" s="437" t="s">
        <v>1493</v>
      </c>
      <c r="E250" s="455"/>
      <c r="F250" s="455"/>
      <c r="G250" s="423" t="s">
        <v>1494</v>
      </c>
      <c r="H250" s="455"/>
      <c r="I250" s="455"/>
      <c r="J250" s="455"/>
      <c r="K250" s="456"/>
      <c r="L250" s="457"/>
      <c r="M250" s="425">
        <v>18000</v>
      </c>
      <c r="N250" s="425">
        <f>M250*НДС!$A$1</f>
        <v>20880</v>
      </c>
      <c r="O250" s="443" t="s">
        <v>70</v>
      </c>
      <c r="P250" s="458"/>
      <c r="Q250" s="450" t="s">
        <v>61</v>
      </c>
      <c r="R250" s="423">
        <f>IF(Таблица68[[#This Row],[Столбец2]]="A",1,IF(Таблица68[[#This Row],[Столбец2]]="B",2,IF(Таблица68[[#This Row],[Столбец2]]="C",3)))</f>
        <v>2</v>
      </c>
      <c r="S250" s="413" t="s">
        <v>882</v>
      </c>
    </row>
    <row r="251" spans="1:19" ht="28">
      <c r="A251" s="423" t="s">
        <v>501</v>
      </c>
      <c r="B251" s="422" t="s">
        <v>1495</v>
      </c>
      <c r="C251" s="422" t="s">
        <v>1495</v>
      </c>
      <c r="D251" s="437" t="s">
        <v>1493</v>
      </c>
      <c r="E251" s="455"/>
      <c r="F251" s="455"/>
      <c r="G251" s="437" t="s">
        <v>1496</v>
      </c>
      <c r="H251" s="455"/>
      <c r="I251" s="455"/>
      <c r="J251" s="455"/>
      <c r="K251" s="456"/>
      <c r="L251" s="457"/>
      <c r="M251" s="425">
        <v>21000</v>
      </c>
      <c r="N251" s="425">
        <f>M251*НДС!$A$1</f>
        <v>24360</v>
      </c>
      <c r="O251" s="443" t="s">
        <v>70</v>
      </c>
      <c r="P251" s="458"/>
      <c r="Q251" s="450" t="s">
        <v>61</v>
      </c>
      <c r="R251" s="423">
        <f>IF(Таблица68[[#This Row],[Столбец2]]="A",1,IF(Таблица68[[#This Row],[Столбец2]]="B",2,IF(Таблица68[[#This Row],[Столбец2]]="C",3)))</f>
        <v>2</v>
      </c>
      <c r="S251" s="413" t="s">
        <v>882</v>
      </c>
    </row>
    <row r="252" spans="1:19" ht="28">
      <c r="A252" s="423" t="s">
        <v>575</v>
      </c>
      <c r="B252" s="422" t="s">
        <v>1497</v>
      </c>
      <c r="C252" s="422" t="s">
        <v>1497</v>
      </c>
      <c r="D252" s="437" t="s">
        <v>1493</v>
      </c>
      <c r="E252" s="455"/>
      <c r="F252" s="455"/>
      <c r="G252" s="423" t="s">
        <v>1498</v>
      </c>
      <c r="H252" s="455"/>
      <c r="I252" s="455"/>
      <c r="J252" s="455"/>
      <c r="K252" s="456"/>
      <c r="L252" s="457"/>
      <c r="M252" s="425">
        <v>37200</v>
      </c>
      <c r="N252" s="425">
        <f>M252*НДС!$A$1</f>
        <v>43152</v>
      </c>
      <c r="O252" s="443" t="s">
        <v>70</v>
      </c>
      <c r="P252" s="458"/>
      <c r="Q252" s="450" t="s">
        <v>61</v>
      </c>
      <c r="R252" s="423">
        <f>IF(Таблица68[[#This Row],[Столбец2]]="A",1,IF(Таблица68[[#This Row],[Столбец2]]="B",2,IF(Таблица68[[#This Row],[Столбец2]]="C",3)))</f>
        <v>2</v>
      </c>
      <c r="S252" s="413" t="s">
        <v>882</v>
      </c>
    </row>
    <row r="253" spans="1:19" ht="28">
      <c r="A253" s="423" t="s">
        <v>576</v>
      </c>
      <c r="B253" s="422" t="s">
        <v>1499</v>
      </c>
      <c r="C253" s="422" t="s">
        <v>1499</v>
      </c>
      <c r="D253" s="437" t="s">
        <v>1493</v>
      </c>
      <c r="E253" s="455"/>
      <c r="F253" s="455"/>
      <c r="G253" s="437">
        <v>50</v>
      </c>
      <c r="H253" s="455"/>
      <c r="I253" s="455"/>
      <c r="J253" s="455"/>
      <c r="K253" s="456"/>
      <c r="L253" s="457"/>
      <c r="M253" s="425">
        <v>45000</v>
      </c>
      <c r="N253" s="425">
        <f>M253*НДС!$A$1</f>
        <v>52200</v>
      </c>
      <c r="O253" s="443" t="s">
        <v>70</v>
      </c>
      <c r="P253" s="458"/>
      <c r="Q253" s="450" t="s">
        <v>61</v>
      </c>
      <c r="R253" s="423">
        <f>IF(Таблица68[[#This Row],[Столбец2]]="A",1,IF(Таблица68[[#This Row],[Столбец2]]="B",2,IF(Таблица68[[#This Row],[Столбец2]]="C",3)))</f>
        <v>2</v>
      </c>
      <c r="S253" s="413" t="s">
        <v>882</v>
      </c>
    </row>
    <row r="254" spans="1:19" ht="28">
      <c r="A254" s="423" t="s">
        <v>577</v>
      </c>
      <c r="B254" s="422" t="s">
        <v>1500</v>
      </c>
      <c r="C254" s="422" t="s">
        <v>1500</v>
      </c>
      <c r="D254" s="437" t="s">
        <v>1493</v>
      </c>
      <c r="E254" s="455"/>
      <c r="F254" s="455"/>
      <c r="G254" s="423">
        <v>65</v>
      </c>
      <c r="H254" s="455"/>
      <c r="I254" s="455"/>
      <c r="J254" s="455"/>
      <c r="K254" s="456"/>
      <c r="L254" s="457"/>
      <c r="M254" s="425">
        <v>58200</v>
      </c>
      <c r="N254" s="425">
        <f>M254*НДС!$A$1</f>
        <v>67512</v>
      </c>
      <c r="O254" s="443" t="s">
        <v>70</v>
      </c>
      <c r="P254" s="458"/>
      <c r="Q254" s="450" t="s">
        <v>61</v>
      </c>
      <c r="R254" s="423">
        <f>IF(Таблица68[[#This Row],[Столбец2]]="A",1,IF(Таблица68[[#This Row],[Столбец2]]="B",2,IF(Таблица68[[#This Row],[Столбец2]]="C",3)))</f>
        <v>2</v>
      </c>
      <c r="S254" s="413" t="s">
        <v>882</v>
      </c>
    </row>
    <row r="255" spans="1:19" ht="28">
      <c r="A255" s="423" t="s">
        <v>578</v>
      </c>
      <c r="B255" s="422" t="s">
        <v>1501</v>
      </c>
      <c r="C255" s="422" t="s">
        <v>1501</v>
      </c>
      <c r="D255" s="437" t="s">
        <v>1493</v>
      </c>
      <c r="E255" s="455"/>
      <c r="F255" s="455"/>
      <c r="G255" s="437">
        <v>80</v>
      </c>
      <c r="H255" s="455"/>
      <c r="I255" s="455"/>
      <c r="J255" s="455"/>
      <c r="K255" s="456"/>
      <c r="L255" s="457"/>
      <c r="M255" s="425">
        <v>83400</v>
      </c>
      <c r="N255" s="425">
        <f>M255*НДС!$A$1</f>
        <v>96744</v>
      </c>
      <c r="O255" s="443" t="s">
        <v>70</v>
      </c>
      <c r="P255" s="458"/>
      <c r="Q255" s="450" t="s">
        <v>61</v>
      </c>
      <c r="R255" s="423">
        <f>IF(Таблица68[[#This Row],[Столбец2]]="A",1,IF(Таблица68[[#This Row],[Столбец2]]="B",2,IF(Таблица68[[#This Row],[Столбец2]]="C",3)))</f>
        <v>2</v>
      </c>
      <c r="S255" s="413" t="s">
        <v>882</v>
      </c>
    </row>
    <row r="256" spans="1:19" ht="28">
      <c r="A256" s="423" t="s">
        <v>579</v>
      </c>
      <c r="B256" s="422" t="s">
        <v>1502</v>
      </c>
      <c r="C256" s="422" t="s">
        <v>1502</v>
      </c>
      <c r="D256" s="437" t="s">
        <v>1493</v>
      </c>
      <c r="E256" s="455"/>
      <c r="F256" s="455"/>
      <c r="G256" s="423">
        <v>100</v>
      </c>
      <c r="H256" s="455"/>
      <c r="I256" s="455"/>
      <c r="J256" s="455"/>
      <c r="K256" s="456"/>
      <c r="L256" s="457"/>
      <c r="M256" s="425">
        <v>107400</v>
      </c>
      <c r="N256" s="425">
        <f>M256*НДС!$A$1</f>
        <v>124583.99999999999</v>
      </c>
      <c r="O256" s="443" t="s">
        <v>70</v>
      </c>
      <c r="P256" s="458"/>
      <c r="Q256" s="429" t="s">
        <v>65</v>
      </c>
      <c r="R256" s="423">
        <f>IF(Таблица68[[#This Row],[Столбец2]]="A",1,IF(Таблица68[[#This Row],[Столбец2]]="B",2,IF(Таблица68[[#This Row],[Столбец2]]="C",3)))</f>
        <v>3</v>
      </c>
      <c r="S256" s="413" t="s">
        <v>878</v>
      </c>
    </row>
    <row r="257" spans="1:19" ht="28">
      <c r="A257" s="423" t="s">
        <v>555</v>
      </c>
      <c r="B257" s="422" t="s">
        <v>1503</v>
      </c>
      <c r="C257" s="422" t="s">
        <v>1504</v>
      </c>
      <c r="D257" s="437" t="s">
        <v>1493</v>
      </c>
      <c r="E257" s="455"/>
      <c r="F257" s="455"/>
      <c r="G257" s="437" t="s">
        <v>834</v>
      </c>
      <c r="H257" s="455"/>
      <c r="I257" s="455"/>
      <c r="J257" s="455"/>
      <c r="K257" s="456"/>
      <c r="L257" s="457"/>
      <c r="M257" s="425">
        <v>27000</v>
      </c>
      <c r="N257" s="425">
        <f>M257*НДС!$A$1</f>
        <v>31319.999999999996</v>
      </c>
      <c r="O257" s="443" t="s">
        <v>70</v>
      </c>
      <c r="P257" s="458"/>
      <c r="Q257" s="450" t="s">
        <v>61</v>
      </c>
      <c r="R257" s="423">
        <f>IF(Таблица68[[#This Row],[Столбец2]]="A",1,IF(Таблица68[[#This Row],[Столбец2]]="B",2,IF(Таблица68[[#This Row],[Столбец2]]="C",3)))</f>
        <v>2</v>
      </c>
      <c r="S257" s="413" t="s">
        <v>882</v>
      </c>
    </row>
    <row r="258" spans="1:19" ht="28">
      <c r="A258" s="423" t="s">
        <v>557</v>
      </c>
      <c r="B258" s="422" t="s">
        <v>1505</v>
      </c>
      <c r="C258" s="422" t="s">
        <v>1506</v>
      </c>
      <c r="D258" s="437" t="s">
        <v>1493</v>
      </c>
      <c r="E258" s="455"/>
      <c r="F258" s="455"/>
      <c r="G258" s="437" t="s">
        <v>835</v>
      </c>
      <c r="H258" s="455"/>
      <c r="I258" s="455"/>
      <c r="J258" s="455"/>
      <c r="K258" s="456"/>
      <c r="L258" s="457"/>
      <c r="M258" s="425">
        <v>36000</v>
      </c>
      <c r="N258" s="425">
        <f>M258*НДС!$A$1</f>
        <v>41760</v>
      </c>
      <c r="O258" s="443" t="s">
        <v>70</v>
      </c>
      <c r="P258" s="458"/>
      <c r="Q258" s="450" t="s">
        <v>61</v>
      </c>
      <c r="R258" s="423">
        <f>IF(Таблица68[[#This Row],[Столбец2]]="A",1,IF(Таблица68[[#This Row],[Столбец2]]="B",2,IF(Таблица68[[#This Row],[Столбец2]]="C",3)))</f>
        <v>2</v>
      </c>
      <c r="S258" s="413" t="s">
        <v>882</v>
      </c>
    </row>
    <row r="259" spans="1:19" ht="28">
      <c r="A259" s="423" t="s">
        <v>836</v>
      </c>
      <c r="B259" s="422" t="s">
        <v>1507</v>
      </c>
      <c r="C259" s="422" t="s">
        <v>1507</v>
      </c>
      <c r="D259" s="437" t="s">
        <v>1493</v>
      </c>
      <c r="E259" s="455"/>
      <c r="F259" s="455"/>
      <c r="G259" s="437">
        <v>125</v>
      </c>
      <c r="H259" s="455"/>
      <c r="I259" s="455"/>
      <c r="J259" s="455"/>
      <c r="K259" s="456"/>
      <c r="L259" s="457"/>
      <c r="M259" s="425">
        <v>45000</v>
      </c>
      <c r="N259" s="425">
        <f>M259*НДС!$A$1</f>
        <v>52200</v>
      </c>
      <c r="O259" s="443" t="s">
        <v>70</v>
      </c>
      <c r="P259" s="458"/>
      <c r="Q259" s="450" t="s">
        <v>61</v>
      </c>
      <c r="R259" s="423">
        <f>IF(Таблица68[[#This Row],[Столбец2]]="A",1,IF(Таблица68[[#This Row],[Столбец2]]="B",2,IF(Таблица68[[#This Row],[Столбец2]]="C",3)))</f>
        <v>2</v>
      </c>
      <c r="S259" s="413" t="s">
        <v>882</v>
      </c>
    </row>
    <row r="260" spans="1:19" ht="28">
      <c r="A260" s="423" t="s">
        <v>649</v>
      </c>
      <c r="B260" s="422" t="s">
        <v>1508</v>
      </c>
      <c r="C260" s="422" t="s">
        <v>1508</v>
      </c>
      <c r="D260" s="437" t="s">
        <v>1493</v>
      </c>
      <c r="E260" s="455"/>
      <c r="F260" s="455"/>
      <c r="G260" s="437" t="s">
        <v>1509</v>
      </c>
      <c r="H260" s="455"/>
      <c r="I260" s="455"/>
      <c r="J260" s="455"/>
      <c r="K260" s="456"/>
      <c r="L260" s="457"/>
      <c r="M260" s="425">
        <v>22200</v>
      </c>
      <c r="N260" s="425">
        <f>M260*НДС!$A$1</f>
        <v>25752</v>
      </c>
      <c r="O260" s="443" t="s">
        <v>70</v>
      </c>
      <c r="P260" s="458"/>
      <c r="Q260" s="450" t="s">
        <v>61</v>
      </c>
      <c r="R260" s="423">
        <f>IF(Таблица68[[#This Row],[Столбец2]]="A",1,IF(Таблица68[[#This Row],[Столбец2]]="B",2,IF(Таблица68[[#This Row],[Столбец2]]="C",3)))</f>
        <v>2</v>
      </c>
      <c r="S260" s="413" t="s">
        <v>882</v>
      </c>
    </row>
    <row r="261" spans="1:19" ht="28">
      <c r="A261" s="423" t="s">
        <v>202</v>
      </c>
      <c r="B261" s="422" t="s">
        <v>1510</v>
      </c>
      <c r="C261" s="422" t="s">
        <v>1511</v>
      </c>
      <c r="D261" s="437" t="s">
        <v>1493</v>
      </c>
      <c r="E261" s="455"/>
      <c r="F261" s="455"/>
      <c r="G261" s="423" t="s">
        <v>1512</v>
      </c>
      <c r="H261" s="455"/>
      <c r="I261" s="455"/>
      <c r="J261" s="455"/>
      <c r="K261" s="456"/>
      <c r="L261" s="457"/>
      <c r="M261" s="425">
        <v>7200</v>
      </c>
      <c r="N261" s="425">
        <f>M261*НДС!$A$1</f>
        <v>8352</v>
      </c>
      <c r="O261" s="443" t="s">
        <v>70</v>
      </c>
      <c r="P261" s="458"/>
      <c r="Q261" s="450" t="s">
        <v>61</v>
      </c>
      <c r="R261" s="423">
        <f>IF(Таблица68[[#This Row],[Столбец2]]="A",1,IF(Таблица68[[#This Row],[Столбец2]]="B",2,IF(Таблица68[[#This Row],[Столбец2]]="C",3)))</f>
        <v>2</v>
      </c>
      <c r="S261" s="413" t="s">
        <v>882</v>
      </c>
    </row>
    <row r="262" spans="1:19" ht="28">
      <c r="A262" s="423" t="s">
        <v>203</v>
      </c>
      <c r="B262" s="422" t="s">
        <v>1513</v>
      </c>
      <c r="C262" s="422" t="s">
        <v>1514</v>
      </c>
      <c r="D262" s="437" t="s">
        <v>1493</v>
      </c>
      <c r="E262" s="455"/>
      <c r="F262" s="455"/>
      <c r="G262" s="437" t="s">
        <v>1498</v>
      </c>
      <c r="H262" s="455"/>
      <c r="I262" s="455"/>
      <c r="J262" s="455"/>
      <c r="K262" s="456"/>
      <c r="L262" s="457"/>
      <c r="M262" s="425">
        <v>9000</v>
      </c>
      <c r="N262" s="425">
        <f>M262*НДС!$A$1</f>
        <v>10440</v>
      </c>
      <c r="O262" s="443" t="s">
        <v>70</v>
      </c>
      <c r="P262" s="458"/>
      <c r="Q262" s="450" t="s">
        <v>61</v>
      </c>
      <c r="R262" s="423">
        <f>IF(Таблица68[[#This Row],[Столбец2]]="A",1,IF(Таблица68[[#This Row],[Столбец2]]="B",2,IF(Таблица68[[#This Row],[Столбец2]]="C",3)))</f>
        <v>2</v>
      </c>
      <c r="S262" s="413" t="s">
        <v>882</v>
      </c>
    </row>
    <row r="263" spans="1:19" ht="28">
      <c r="A263" s="423" t="s">
        <v>204</v>
      </c>
      <c r="B263" s="422" t="s">
        <v>1515</v>
      </c>
      <c r="C263" s="422" t="s">
        <v>1516</v>
      </c>
      <c r="D263" s="437" t="s">
        <v>1493</v>
      </c>
      <c r="E263" s="455"/>
      <c r="F263" s="455"/>
      <c r="G263" s="423">
        <v>50</v>
      </c>
      <c r="H263" s="455"/>
      <c r="I263" s="455"/>
      <c r="J263" s="455"/>
      <c r="K263" s="456"/>
      <c r="L263" s="457"/>
      <c r="M263" s="425">
        <v>14400</v>
      </c>
      <c r="N263" s="425">
        <f>M263*НДС!$A$1</f>
        <v>16704</v>
      </c>
      <c r="O263" s="443" t="s">
        <v>70</v>
      </c>
      <c r="P263" s="458"/>
      <c r="Q263" s="450" t="s">
        <v>61</v>
      </c>
      <c r="R263" s="423">
        <f>IF(Таблица68[[#This Row],[Столбец2]]="A",1,IF(Таблица68[[#This Row],[Столбец2]]="B",2,IF(Таблица68[[#This Row],[Столбец2]]="C",3)))</f>
        <v>2</v>
      </c>
      <c r="S263" s="413" t="s">
        <v>882</v>
      </c>
    </row>
    <row r="264" spans="1:19" ht="28">
      <c r="A264" s="423" t="s">
        <v>205</v>
      </c>
      <c r="B264" s="422" t="s">
        <v>1517</v>
      </c>
      <c r="C264" s="422" t="s">
        <v>1518</v>
      </c>
      <c r="D264" s="437" t="s">
        <v>1493</v>
      </c>
      <c r="E264" s="455"/>
      <c r="F264" s="455"/>
      <c r="G264" s="437">
        <v>65</v>
      </c>
      <c r="H264" s="455"/>
      <c r="I264" s="455"/>
      <c r="J264" s="455"/>
      <c r="K264" s="456"/>
      <c r="L264" s="457"/>
      <c r="M264" s="425">
        <v>18000</v>
      </c>
      <c r="N264" s="425">
        <f>M264*НДС!$A$1</f>
        <v>20880</v>
      </c>
      <c r="O264" s="443" t="s">
        <v>70</v>
      </c>
      <c r="P264" s="458"/>
      <c r="Q264" s="450" t="s">
        <v>61</v>
      </c>
      <c r="R264" s="423">
        <f>IF(Таблица68[[#This Row],[Столбец2]]="A",1,IF(Таблица68[[#This Row],[Столбец2]]="B",2,IF(Таблица68[[#This Row],[Столбец2]]="C",3)))</f>
        <v>2</v>
      </c>
      <c r="S264" s="413" t="s">
        <v>882</v>
      </c>
    </row>
    <row r="265" spans="1:19" ht="28">
      <c r="A265" s="423" t="s">
        <v>206</v>
      </c>
      <c r="B265" s="422" t="s">
        <v>1519</v>
      </c>
      <c r="C265" s="422" t="s">
        <v>1520</v>
      </c>
      <c r="D265" s="437" t="s">
        <v>1493</v>
      </c>
      <c r="E265" s="455"/>
      <c r="F265" s="455"/>
      <c r="G265" s="423">
        <v>80</v>
      </c>
      <c r="H265" s="455"/>
      <c r="I265" s="455"/>
      <c r="J265" s="455"/>
      <c r="K265" s="456"/>
      <c r="L265" s="457"/>
      <c r="M265" s="425">
        <v>27000</v>
      </c>
      <c r="N265" s="425">
        <f>M265*НДС!$A$1</f>
        <v>31319.999999999996</v>
      </c>
      <c r="O265" s="443" t="s">
        <v>70</v>
      </c>
      <c r="P265" s="458"/>
      <c r="Q265" s="450" t="s">
        <v>61</v>
      </c>
      <c r="R265" s="423">
        <f>IF(Таблица68[[#This Row],[Столбец2]]="A",1,IF(Таблица68[[#This Row],[Столбец2]]="B",2,IF(Таблица68[[#This Row],[Столбец2]]="C",3)))</f>
        <v>2</v>
      </c>
      <c r="S265" s="413" t="s">
        <v>882</v>
      </c>
    </row>
    <row r="266" spans="1:19" ht="28">
      <c r="A266" s="423" t="s">
        <v>207</v>
      </c>
      <c r="B266" s="422" t="s">
        <v>1521</v>
      </c>
      <c r="C266" s="422" t="s">
        <v>1522</v>
      </c>
      <c r="D266" s="437" t="s">
        <v>1493</v>
      </c>
      <c r="E266" s="455"/>
      <c r="F266" s="455"/>
      <c r="G266" s="437">
        <v>100</v>
      </c>
      <c r="H266" s="455"/>
      <c r="I266" s="455"/>
      <c r="J266" s="455"/>
      <c r="K266" s="456"/>
      <c r="L266" s="457"/>
      <c r="M266" s="425">
        <v>36000</v>
      </c>
      <c r="N266" s="425">
        <f>M266*НДС!$A$1</f>
        <v>41760</v>
      </c>
      <c r="O266" s="443" t="s">
        <v>70</v>
      </c>
      <c r="P266" s="458"/>
      <c r="Q266" s="450" t="s">
        <v>61</v>
      </c>
      <c r="R266" s="423">
        <f>IF(Таблица68[[#This Row],[Столбец2]]="A",1,IF(Таблица68[[#This Row],[Столбец2]]="B",2,IF(Таблица68[[#This Row],[Столбец2]]="C",3)))</f>
        <v>2</v>
      </c>
      <c r="S266" s="413" t="s">
        <v>882</v>
      </c>
    </row>
    <row r="267" spans="1:19" ht="28">
      <c r="A267" s="423" t="s">
        <v>208</v>
      </c>
      <c r="B267" s="422" t="s">
        <v>1523</v>
      </c>
      <c r="C267" s="422" t="s">
        <v>1524</v>
      </c>
      <c r="D267" s="437" t="s">
        <v>1493</v>
      </c>
      <c r="E267" s="455"/>
      <c r="F267" s="455"/>
      <c r="G267" s="423">
        <v>125</v>
      </c>
      <c r="H267" s="455"/>
      <c r="I267" s="455"/>
      <c r="J267" s="455"/>
      <c r="K267" s="456"/>
      <c r="L267" s="457"/>
      <c r="M267" s="425">
        <v>63000</v>
      </c>
      <c r="N267" s="425">
        <f>M267*НДС!$A$1</f>
        <v>73080</v>
      </c>
      <c r="O267" s="443" t="s">
        <v>70</v>
      </c>
      <c r="P267" s="458"/>
      <c r="Q267" s="450" t="s">
        <v>61</v>
      </c>
      <c r="R267" s="423">
        <f>IF(Таблица68[[#This Row],[Столбец2]]="A",1,IF(Таблица68[[#This Row],[Столбец2]]="B",2,IF(Таблица68[[#This Row],[Столбец2]]="C",3)))</f>
        <v>2</v>
      </c>
      <c r="S267" s="413" t="s">
        <v>882</v>
      </c>
    </row>
    <row r="268" spans="1:19" ht="28">
      <c r="A268" s="423" t="s">
        <v>209</v>
      </c>
      <c r="B268" s="422" t="s">
        <v>1525</v>
      </c>
      <c r="C268" s="422" t="s">
        <v>1526</v>
      </c>
      <c r="D268" s="437" t="s">
        <v>1493</v>
      </c>
      <c r="E268" s="455"/>
      <c r="F268" s="455"/>
      <c r="G268" s="437">
        <v>150</v>
      </c>
      <c r="H268" s="455"/>
      <c r="I268" s="455"/>
      <c r="J268" s="455"/>
      <c r="K268" s="456"/>
      <c r="L268" s="457"/>
      <c r="M268" s="425">
        <v>95400</v>
      </c>
      <c r="N268" s="425">
        <f>M268*НДС!$A$1</f>
        <v>110663.99999999999</v>
      </c>
      <c r="O268" s="443" t="s">
        <v>70</v>
      </c>
      <c r="P268" s="458"/>
      <c r="Q268" s="450" t="s">
        <v>61</v>
      </c>
      <c r="R268" s="423">
        <f>IF(Таблица68[[#This Row],[Столбец2]]="A",1,IF(Таблица68[[#This Row],[Столбец2]]="B",2,IF(Таблица68[[#This Row],[Столбец2]]="C",3)))</f>
        <v>2</v>
      </c>
      <c r="S268" s="413" t="s">
        <v>882</v>
      </c>
    </row>
    <row r="269" spans="1:19" ht="28">
      <c r="A269" s="423" t="s">
        <v>210</v>
      </c>
      <c r="B269" s="422" t="s">
        <v>1527</v>
      </c>
      <c r="C269" s="422" t="s">
        <v>1528</v>
      </c>
      <c r="D269" s="437" t="s">
        <v>1493</v>
      </c>
      <c r="E269" s="455"/>
      <c r="F269" s="455"/>
      <c r="G269" s="423">
        <v>200</v>
      </c>
      <c r="H269" s="455"/>
      <c r="I269" s="455"/>
      <c r="J269" s="455"/>
      <c r="K269" s="456"/>
      <c r="L269" s="457"/>
      <c r="M269" s="425">
        <v>141000</v>
      </c>
      <c r="N269" s="425">
        <f>M269*НДС!$A$1</f>
        <v>163560</v>
      </c>
      <c r="O269" s="443" t="s">
        <v>70</v>
      </c>
      <c r="P269" s="458"/>
      <c r="Q269" s="450" t="s">
        <v>61</v>
      </c>
      <c r="R269" s="423">
        <f>IF(Таблица68[[#This Row],[Столбец2]]="A",1,IF(Таблица68[[#This Row],[Столбец2]]="B",2,IF(Таблица68[[#This Row],[Столбец2]]="C",3)))</f>
        <v>2</v>
      </c>
      <c r="S269" s="413" t="s">
        <v>882</v>
      </c>
    </row>
    <row r="270" spans="1:19" ht="28">
      <c r="A270" s="423" t="s">
        <v>211</v>
      </c>
      <c r="B270" s="422" t="s">
        <v>1529</v>
      </c>
      <c r="C270" s="422" t="s">
        <v>1530</v>
      </c>
      <c r="D270" s="437" t="s">
        <v>1493</v>
      </c>
      <c r="E270" s="455"/>
      <c r="F270" s="455"/>
      <c r="G270" s="437">
        <v>250</v>
      </c>
      <c r="H270" s="455"/>
      <c r="I270" s="455"/>
      <c r="J270" s="455"/>
      <c r="K270" s="456"/>
      <c r="L270" s="457"/>
      <c r="M270" s="425">
        <v>210000</v>
      </c>
      <c r="N270" s="425">
        <f>M270*НДС!$A$1</f>
        <v>243599.99999999997</v>
      </c>
      <c r="O270" s="443" t="s">
        <v>70</v>
      </c>
      <c r="P270" s="458"/>
      <c r="Q270" s="450" t="s">
        <v>61</v>
      </c>
      <c r="R270" s="423">
        <f>IF(Таблица68[[#This Row],[Столбец2]]="A",1,IF(Таблица68[[#This Row],[Столбец2]]="B",2,IF(Таблица68[[#This Row],[Столбец2]]="C",3)))</f>
        <v>2</v>
      </c>
      <c r="S270" s="413" t="s">
        <v>882</v>
      </c>
    </row>
    <row r="271" spans="1:19" ht="28">
      <c r="A271" s="423" t="s">
        <v>212</v>
      </c>
      <c r="B271" s="422" t="s">
        <v>1531</v>
      </c>
      <c r="C271" s="422" t="s">
        <v>1532</v>
      </c>
      <c r="D271" s="437" t="s">
        <v>1493</v>
      </c>
      <c r="E271" s="455"/>
      <c r="F271" s="455"/>
      <c r="G271" s="423">
        <v>300</v>
      </c>
      <c r="H271" s="455"/>
      <c r="I271" s="455"/>
      <c r="J271" s="455"/>
      <c r="K271" s="456"/>
      <c r="L271" s="457"/>
      <c r="M271" s="425">
        <v>282000</v>
      </c>
      <c r="N271" s="425">
        <f>M271*НДС!$A$1</f>
        <v>327120</v>
      </c>
      <c r="O271" s="443" t="s">
        <v>70</v>
      </c>
      <c r="P271" s="458"/>
      <c r="Q271" s="450" t="s">
        <v>61</v>
      </c>
      <c r="R271" s="423">
        <f>IF(Таблица68[[#This Row],[Столбец2]]="A",1,IF(Таблица68[[#This Row],[Столбец2]]="B",2,IF(Таблица68[[#This Row],[Столбец2]]="C",3)))</f>
        <v>2</v>
      </c>
      <c r="S271" s="413" t="s">
        <v>882</v>
      </c>
    </row>
    <row r="272" spans="1:19" ht="28">
      <c r="A272" s="423" t="s">
        <v>213</v>
      </c>
      <c r="B272" s="422" t="s">
        <v>1533</v>
      </c>
      <c r="C272" s="422" t="s">
        <v>1534</v>
      </c>
      <c r="D272" s="437" t="s">
        <v>1493</v>
      </c>
      <c r="E272" s="455"/>
      <c r="F272" s="455"/>
      <c r="G272" s="437" t="s">
        <v>1512</v>
      </c>
      <c r="H272" s="455"/>
      <c r="I272" s="455"/>
      <c r="J272" s="455"/>
      <c r="K272" s="456"/>
      <c r="L272" s="457"/>
      <c r="M272" s="425">
        <v>90000</v>
      </c>
      <c r="N272" s="425">
        <f>M272*НДС!$A$1</f>
        <v>104400</v>
      </c>
      <c r="O272" s="443" t="s">
        <v>70</v>
      </c>
      <c r="P272" s="458"/>
      <c r="Q272" s="450" t="s">
        <v>61</v>
      </c>
      <c r="R272" s="423">
        <f>IF(Таблица68[[#This Row],[Столбец2]]="A",1,IF(Таблица68[[#This Row],[Столбец2]]="B",2,IF(Таблица68[[#This Row],[Столбец2]]="C",3)))</f>
        <v>2</v>
      </c>
      <c r="S272" s="413" t="s">
        <v>882</v>
      </c>
    </row>
    <row r="273" spans="1:19" ht="28">
      <c r="A273" s="423" t="s">
        <v>215</v>
      </c>
      <c r="B273" s="422" t="s">
        <v>1535</v>
      </c>
      <c r="C273" s="422" t="s">
        <v>1536</v>
      </c>
      <c r="D273" s="437" t="s">
        <v>1493</v>
      </c>
      <c r="E273" s="455"/>
      <c r="F273" s="455"/>
      <c r="G273" s="423" t="s">
        <v>1537</v>
      </c>
      <c r="H273" s="455"/>
      <c r="I273" s="455"/>
      <c r="J273" s="455"/>
      <c r="K273" s="456"/>
      <c r="L273" s="457"/>
      <c r="M273" s="425">
        <v>153000</v>
      </c>
      <c r="N273" s="425">
        <f>M273*НДС!$A$1</f>
        <v>177480</v>
      </c>
      <c r="O273" s="443" t="s">
        <v>70</v>
      </c>
      <c r="P273" s="458"/>
      <c r="Q273" s="450" t="s">
        <v>61</v>
      </c>
      <c r="R273" s="423">
        <f>IF(Таблица68[[#This Row],[Столбец2]]="A",1,IF(Таблица68[[#This Row],[Столбец2]]="B",2,IF(Таблица68[[#This Row],[Столбец2]]="C",3)))</f>
        <v>2</v>
      </c>
      <c r="S273" s="413" t="s">
        <v>882</v>
      </c>
    </row>
    <row r="274" spans="1:19" ht="28">
      <c r="A274" s="423" t="s">
        <v>216</v>
      </c>
      <c r="B274" s="422" t="s">
        <v>1538</v>
      </c>
      <c r="C274" s="422" t="s">
        <v>1539</v>
      </c>
      <c r="D274" s="437" t="s">
        <v>1493</v>
      </c>
      <c r="E274" s="455"/>
      <c r="F274" s="455"/>
      <c r="G274" s="437">
        <v>65</v>
      </c>
      <c r="H274" s="455"/>
      <c r="I274" s="455"/>
      <c r="J274" s="455"/>
      <c r="K274" s="456"/>
      <c r="L274" s="457"/>
      <c r="M274" s="425">
        <v>299400</v>
      </c>
      <c r="N274" s="425">
        <f>M274*НДС!$A$1</f>
        <v>347304</v>
      </c>
      <c r="O274" s="443" t="s">
        <v>70</v>
      </c>
      <c r="P274" s="458"/>
      <c r="Q274" s="450" t="s">
        <v>61</v>
      </c>
      <c r="R274" s="423">
        <f>IF(Таблица68[[#This Row],[Столбец2]]="A",1,IF(Таблица68[[#This Row],[Столбец2]]="B",2,IF(Таблица68[[#This Row],[Столбец2]]="C",3)))</f>
        <v>2</v>
      </c>
      <c r="S274" s="413" t="s">
        <v>882</v>
      </c>
    </row>
    <row r="275" spans="1:19" ht="28">
      <c r="A275" s="423" t="s">
        <v>217</v>
      </c>
      <c r="B275" s="422" t="s">
        <v>1540</v>
      </c>
      <c r="C275" s="422" t="s">
        <v>1541</v>
      </c>
      <c r="D275" s="437" t="s">
        <v>1493</v>
      </c>
      <c r="E275" s="455"/>
      <c r="F275" s="455"/>
      <c r="G275" s="423">
        <v>80</v>
      </c>
      <c r="H275" s="455"/>
      <c r="I275" s="455"/>
      <c r="J275" s="455"/>
      <c r="K275" s="456"/>
      <c r="L275" s="457"/>
      <c r="M275" s="425">
        <v>348000</v>
      </c>
      <c r="N275" s="425">
        <f>M275*НДС!$A$1</f>
        <v>403680</v>
      </c>
      <c r="O275" s="443" t="s">
        <v>70</v>
      </c>
      <c r="P275" s="458"/>
      <c r="Q275" s="450" t="s">
        <v>61</v>
      </c>
      <c r="R275" s="423">
        <f>IF(Таблица68[[#This Row],[Столбец2]]="A",1,IF(Таблица68[[#This Row],[Столбец2]]="B",2,IF(Таблица68[[#This Row],[Столбец2]]="C",3)))</f>
        <v>2</v>
      </c>
      <c r="S275" s="413" t="s">
        <v>882</v>
      </c>
    </row>
    <row r="276" spans="1:19" ht="28">
      <c r="A276" s="423" t="s">
        <v>218</v>
      </c>
      <c r="B276" s="422" t="s">
        <v>1542</v>
      </c>
      <c r="C276" s="422" t="s">
        <v>1543</v>
      </c>
      <c r="D276" s="437" t="s">
        <v>1493</v>
      </c>
      <c r="E276" s="455"/>
      <c r="F276" s="455"/>
      <c r="G276" s="437" t="s">
        <v>1544</v>
      </c>
      <c r="H276" s="455"/>
      <c r="I276" s="455"/>
      <c r="J276" s="455"/>
      <c r="K276" s="456"/>
      <c r="L276" s="457"/>
      <c r="M276" s="425">
        <v>288000</v>
      </c>
      <c r="N276" s="425">
        <f>M276*НДС!$A$1</f>
        <v>334080</v>
      </c>
      <c r="O276" s="443" t="s">
        <v>70</v>
      </c>
      <c r="P276" s="458"/>
      <c r="Q276" s="450" t="s">
        <v>61</v>
      </c>
      <c r="R276" s="423">
        <f>IF(Таблица68[[#This Row],[Столбец2]]="A",1,IF(Таблица68[[#This Row],[Столбец2]]="B",2,IF(Таблица68[[#This Row],[Столбец2]]="C",3)))</f>
        <v>2</v>
      </c>
      <c r="S276" s="413" t="s">
        <v>882</v>
      </c>
    </row>
    <row r="277" spans="1:19" ht="28">
      <c r="A277" s="423" t="s">
        <v>219</v>
      </c>
      <c r="B277" s="422" t="s">
        <v>1545</v>
      </c>
      <c r="C277" s="422" t="s">
        <v>1546</v>
      </c>
      <c r="D277" s="423" t="s">
        <v>1493</v>
      </c>
      <c r="E277" s="455"/>
      <c r="F277" s="455"/>
      <c r="G277" s="423">
        <v>200</v>
      </c>
      <c r="H277" s="455"/>
      <c r="I277" s="455"/>
      <c r="J277" s="455"/>
      <c r="K277" s="456"/>
      <c r="L277" s="457"/>
      <c r="M277" s="425">
        <v>210000</v>
      </c>
      <c r="N277" s="425">
        <f>M277*НДС!$A$1</f>
        <v>243599.99999999997</v>
      </c>
      <c r="O277" s="443" t="s">
        <v>70</v>
      </c>
      <c r="P277" s="458"/>
      <c r="Q277" s="450" t="s">
        <v>61</v>
      </c>
      <c r="R277" s="423">
        <f>IF(Таблица68[[#This Row],[Столбец2]]="A",1,IF(Таблица68[[#This Row],[Столбец2]]="B",2,IF(Таблица68[[#This Row],[Столбец2]]="C",3)))</f>
        <v>2</v>
      </c>
      <c r="S277" s="413" t="s">
        <v>882</v>
      </c>
    </row>
    <row r="278" spans="1:19" ht="28">
      <c r="A278" s="423" t="s">
        <v>220</v>
      </c>
      <c r="B278" s="422" t="s">
        <v>1547</v>
      </c>
      <c r="C278" s="422" t="s">
        <v>1547</v>
      </c>
      <c r="D278" s="437" t="s">
        <v>1493</v>
      </c>
      <c r="E278" s="455"/>
      <c r="F278" s="455"/>
      <c r="G278" s="423" t="s">
        <v>1512</v>
      </c>
      <c r="H278" s="455"/>
      <c r="I278" s="455"/>
      <c r="J278" s="455"/>
      <c r="K278" s="456"/>
      <c r="L278" s="457"/>
      <c r="M278" s="425">
        <v>39000</v>
      </c>
      <c r="N278" s="425">
        <f>M278*НДС!$A$1</f>
        <v>45240</v>
      </c>
      <c r="O278" s="443" t="s">
        <v>70</v>
      </c>
      <c r="P278" s="458"/>
      <c r="Q278" s="450" t="s">
        <v>61</v>
      </c>
      <c r="R278" s="423">
        <f>IF(Таблица68[[#This Row],[Столбец2]]="A",1,IF(Таблица68[[#This Row],[Столбец2]]="B",2,IF(Таблица68[[#This Row],[Столбец2]]="C",3)))</f>
        <v>2</v>
      </c>
      <c r="S278" s="413" t="s">
        <v>882</v>
      </c>
    </row>
    <row r="279" spans="1:19" ht="28">
      <c r="A279" s="423" t="s">
        <v>222</v>
      </c>
      <c r="B279" s="422" t="s">
        <v>1548</v>
      </c>
      <c r="C279" s="422" t="s">
        <v>1548</v>
      </c>
      <c r="D279" s="437" t="s">
        <v>1493</v>
      </c>
      <c r="E279" s="455"/>
      <c r="F279" s="455"/>
      <c r="G279" s="423" t="s">
        <v>1498</v>
      </c>
      <c r="H279" s="455"/>
      <c r="I279" s="455"/>
      <c r="J279" s="455"/>
      <c r="K279" s="456"/>
      <c r="L279" s="457"/>
      <c r="M279" s="425">
        <v>69000</v>
      </c>
      <c r="N279" s="425">
        <f>M279*НДС!$A$1</f>
        <v>80040</v>
      </c>
      <c r="O279" s="443" t="s">
        <v>70</v>
      </c>
      <c r="P279" s="458"/>
      <c r="Q279" s="429" t="s">
        <v>65</v>
      </c>
      <c r="R279" s="423">
        <f>IF(Таблица68[[#This Row],[Столбец2]]="A",1,IF(Таблица68[[#This Row],[Столбец2]]="B",2,IF(Таблица68[[#This Row],[Столбец2]]="C",3)))</f>
        <v>3</v>
      </c>
      <c r="S279" s="413" t="s">
        <v>878</v>
      </c>
    </row>
    <row r="280" spans="1:19" ht="28">
      <c r="A280" s="423" t="s">
        <v>223</v>
      </c>
      <c r="B280" s="422" t="s">
        <v>1549</v>
      </c>
      <c r="C280" s="422" t="s">
        <v>1549</v>
      </c>
      <c r="D280" s="437" t="s">
        <v>1493</v>
      </c>
      <c r="E280" s="455"/>
      <c r="F280" s="455"/>
      <c r="G280" s="423">
        <v>50</v>
      </c>
      <c r="H280" s="455"/>
      <c r="I280" s="455"/>
      <c r="J280" s="455"/>
      <c r="K280" s="456"/>
      <c r="L280" s="457"/>
      <c r="M280" s="425">
        <v>22800</v>
      </c>
      <c r="N280" s="425">
        <f>M280*НДС!$A$1</f>
        <v>26447.999999999996</v>
      </c>
      <c r="O280" s="443" t="s">
        <v>70</v>
      </c>
      <c r="P280" s="458"/>
      <c r="Q280" s="429" t="s">
        <v>65</v>
      </c>
      <c r="R280" s="423">
        <f>IF(Таблица68[[#This Row],[Столбец2]]="A",1,IF(Таблица68[[#This Row],[Столбец2]]="B",2,IF(Таблица68[[#This Row],[Столбец2]]="C",3)))</f>
        <v>3</v>
      </c>
      <c r="S280" s="413" t="s">
        <v>1550</v>
      </c>
    </row>
    <row r="281" spans="1:19" ht="28">
      <c r="A281" s="423" t="s">
        <v>224</v>
      </c>
      <c r="B281" s="422" t="s">
        <v>1551</v>
      </c>
      <c r="C281" s="422" t="s">
        <v>1551</v>
      </c>
      <c r="D281" s="437" t="s">
        <v>1493</v>
      </c>
      <c r="E281" s="455"/>
      <c r="F281" s="455"/>
      <c r="G281" s="423">
        <v>65</v>
      </c>
      <c r="H281" s="455"/>
      <c r="I281" s="455"/>
      <c r="J281" s="455"/>
      <c r="K281" s="456"/>
      <c r="L281" s="457"/>
      <c r="M281" s="425">
        <v>27000</v>
      </c>
      <c r="N281" s="425">
        <f>M281*НДС!$A$1</f>
        <v>31319.999999999996</v>
      </c>
      <c r="O281" s="443" t="s">
        <v>70</v>
      </c>
      <c r="P281" s="458"/>
      <c r="Q281" s="429" t="s">
        <v>65</v>
      </c>
      <c r="R281" s="423">
        <f>IF(Таблица68[[#This Row],[Столбец2]]="A",1,IF(Таблица68[[#This Row],[Столбец2]]="B",2,IF(Таблица68[[#This Row],[Столбец2]]="C",3)))</f>
        <v>3</v>
      </c>
      <c r="S281" s="413" t="s">
        <v>1550</v>
      </c>
    </row>
    <row r="282" spans="1:19" ht="28">
      <c r="A282" s="423" t="s">
        <v>225</v>
      </c>
      <c r="B282" s="422" t="s">
        <v>1552</v>
      </c>
      <c r="C282" s="422" t="s">
        <v>1552</v>
      </c>
      <c r="D282" s="437" t="s">
        <v>1493</v>
      </c>
      <c r="E282" s="455"/>
      <c r="F282" s="455"/>
      <c r="G282" s="423">
        <v>80</v>
      </c>
      <c r="H282" s="455"/>
      <c r="I282" s="455"/>
      <c r="J282" s="455"/>
      <c r="K282" s="456"/>
      <c r="L282" s="457"/>
      <c r="M282" s="425">
        <v>31200</v>
      </c>
      <c r="N282" s="425">
        <f>M282*НДС!$A$1</f>
        <v>36192</v>
      </c>
      <c r="O282" s="443" t="s">
        <v>70</v>
      </c>
      <c r="P282" s="458"/>
      <c r="Q282" s="450" t="s">
        <v>61</v>
      </c>
      <c r="R282" s="423">
        <f>IF(Таблица68[[#This Row],[Столбец2]]="A",1,IF(Таблица68[[#This Row],[Столбец2]]="B",2,IF(Таблица68[[#This Row],[Столбец2]]="C",3)))</f>
        <v>2</v>
      </c>
      <c r="S282" s="413" t="s">
        <v>1553</v>
      </c>
    </row>
    <row r="283" spans="1:19" ht="28">
      <c r="A283" s="423" t="s">
        <v>226</v>
      </c>
      <c r="B283" s="422" t="s">
        <v>1554</v>
      </c>
      <c r="C283" s="422" t="s">
        <v>1554</v>
      </c>
      <c r="D283" s="437" t="s">
        <v>1493</v>
      </c>
      <c r="E283" s="455"/>
      <c r="F283" s="455"/>
      <c r="G283" s="423">
        <v>100</v>
      </c>
      <c r="H283" s="455"/>
      <c r="I283" s="455"/>
      <c r="J283" s="455"/>
      <c r="K283" s="456"/>
      <c r="L283" s="457"/>
      <c r="M283" s="425">
        <v>51000</v>
      </c>
      <c r="N283" s="425">
        <f>M283*НДС!$A$1</f>
        <v>59159.999999999993</v>
      </c>
      <c r="O283" s="443" t="s">
        <v>70</v>
      </c>
      <c r="P283" s="458"/>
      <c r="Q283" s="429" t="s">
        <v>65</v>
      </c>
      <c r="R283" s="423">
        <f>IF(Таблица68[[#This Row],[Столбец2]]="A",1,IF(Таблица68[[#This Row],[Столбец2]]="B",2,IF(Таблица68[[#This Row],[Столбец2]]="C",3)))</f>
        <v>3</v>
      </c>
      <c r="S283" s="413" t="s">
        <v>1550</v>
      </c>
    </row>
    <row r="284" spans="1:19" ht="28">
      <c r="A284" s="423" t="s">
        <v>227</v>
      </c>
      <c r="B284" s="422" t="s">
        <v>1555</v>
      </c>
      <c r="C284" s="422" t="s">
        <v>1555</v>
      </c>
      <c r="D284" s="437" t="s">
        <v>1493</v>
      </c>
      <c r="E284" s="455"/>
      <c r="F284" s="455"/>
      <c r="G284" s="423">
        <v>125</v>
      </c>
      <c r="H284" s="455"/>
      <c r="I284" s="455"/>
      <c r="J284" s="455"/>
      <c r="K284" s="456"/>
      <c r="L284" s="457"/>
      <c r="M284" s="425">
        <v>81000</v>
      </c>
      <c r="N284" s="425">
        <f>M284*НДС!$A$1</f>
        <v>93960</v>
      </c>
      <c r="O284" s="443" t="s">
        <v>70</v>
      </c>
      <c r="P284" s="458"/>
      <c r="Q284" s="429" t="s">
        <v>65</v>
      </c>
      <c r="R284" s="423">
        <f>IF(Таблица68[[#This Row],[Столбец2]]="A",1,IF(Таблица68[[#This Row],[Столбец2]]="B",2,IF(Таблица68[[#This Row],[Столбец2]]="C",3)))</f>
        <v>3</v>
      </c>
      <c r="S284" s="413" t="s">
        <v>878</v>
      </c>
    </row>
    <row r="285" spans="1:19" ht="28">
      <c r="A285" s="423" t="s">
        <v>228</v>
      </c>
      <c r="B285" s="422" t="s">
        <v>1556</v>
      </c>
      <c r="C285" s="422" t="s">
        <v>1556</v>
      </c>
      <c r="D285" s="437" t="s">
        <v>1493</v>
      </c>
      <c r="E285" s="455"/>
      <c r="F285" s="455"/>
      <c r="G285" s="423">
        <v>150</v>
      </c>
      <c r="H285" s="455"/>
      <c r="I285" s="455"/>
      <c r="J285" s="455"/>
      <c r="K285" s="456"/>
      <c r="L285" s="457"/>
      <c r="M285" s="425">
        <v>117000</v>
      </c>
      <c r="N285" s="425">
        <f>M285*НДС!$A$1</f>
        <v>135720</v>
      </c>
      <c r="O285" s="443" t="s">
        <v>70</v>
      </c>
      <c r="P285" s="458"/>
      <c r="Q285" s="429" t="s">
        <v>65</v>
      </c>
      <c r="R285" s="423">
        <f>IF(Таблица68[[#This Row],[Столбец2]]="A",1,IF(Таблица68[[#This Row],[Столбец2]]="B",2,IF(Таблица68[[#This Row],[Столбец2]]="C",3)))</f>
        <v>3</v>
      </c>
      <c r="S285" s="413" t="s">
        <v>1550</v>
      </c>
    </row>
    <row r="286" spans="1:19" ht="28">
      <c r="A286" s="423" t="s">
        <v>229</v>
      </c>
      <c r="B286" s="422" t="s">
        <v>1557</v>
      </c>
      <c r="C286" s="422" t="s">
        <v>1557</v>
      </c>
      <c r="D286" s="437" t="s">
        <v>1493</v>
      </c>
      <c r="E286" s="455"/>
      <c r="F286" s="455"/>
      <c r="G286" s="423">
        <v>200</v>
      </c>
      <c r="H286" s="455"/>
      <c r="I286" s="455"/>
      <c r="J286" s="455"/>
      <c r="K286" s="456"/>
      <c r="L286" s="457"/>
      <c r="M286" s="425">
        <v>210000</v>
      </c>
      <c r="N286" s="425">
        <f>M286*НДС!$A$1</f>
        <v>243599.99999999997</v>
      </c>
      <c r="O286" s="443" t="s">
        <v>70</v>
      </c>
      <c r="P286" s="458"/>
      <c r="Q286" s="429" t="s">
        <v>65</v>
      </c>
      <c r="R286" s="423">
        <f>IF(Таблица68[[#This Row],[Столбец2]]="A",1,IF(Таблица68[[#This Row],[Столбец2]]="B",2,IF(Таблица68[[#This Row],[Столбец2]]="C",3)))</f>
        <v>3</v>
      </c>
      <c r="S286" s="413" t="s">
        <v>1550</v>
      </c>
    </row>
    <row r="287" spans="1:19" ht="28">
      <c r="A287" s="423" t="s">
        <v>230</v>
      </c>
      <c r="B287" s="422" t="s">
        <v>1558</v>
      </c>
      <c r="C287" s="422" t="s">
        <v>1558</v>
      </c>
      <c r="D287" s="437" t="s">
        <v>1493</v>
      </c>
      <c r="E287" s="455"/>
      <c r="F287" s="455"/>
      <c r="G287" s="423">
        <v>250</v>
      </c>
      <c r="H287" s="455"/>
      <c r="I287" s="455"/>
      <c r="J287" s="455"/>
      <c r="K287" s="456"/>
      <c r="L287" s="457"/>
      <c r="M287" s="425">
        <v>336000</v>
      </c>
      <c r="N287" s="425">
        <f>M287*НДС!$A$1</f>
        <v>389760</v>
      </c>
      <c r="O287" s="443" t="s">
        <v>70</v>
      </c>
      <c r="P287" s="458"/>
      <c r="Q287" s="429" t="s">
        <v>65</v>
      </c>
      <c r="R287" s="423">
        <f>IF(Таблица68[[#This Row],[Столбец2]]="A",1,IF(Таблица68[[#This Row],[Столбец2]]="B",2,IF(Таблица68[[#This Row],[Столбец2]]="C",3)))</f>
        <v>3</v>
      </c>
      <c r="S287" s="413" t="s">
        <v>1550</v>
      </c>
    </row>
    <row r="288" spans="1:19" ht="28">
      <c r="A288" s="423" t="s">
        <v>231</v>
      </c>
      <c r="B288" s="422" t="s">
        <v>1559</v>
      </c>
      <c r="C288" s="422" t="s">
        <v>1559</v>
      </c>
      <c r="D288" s="437" t="s">
        <v>1493</v>
      </c>
      <c r="E288" s="455"/>
      <c r="F288" s="455"/>
      <c r="G288" s="423">
        <v>300</v>
      </c>
      <c r="H288" s="455"/>
      <c r="I288" s="455"/>
      <c r="J288" s="455"/>
      <c r="K288" s="456"/>
      <c r="L288" s="457"/>
      <c r="M288" s="425">
        <v>522000</v>
      </c>
      <c r="N288" s="425">
        <f>M288*НДС!$A$1</f>
        <v>605520</v>
      </c>
      <c r="O288" s="443" t="s">
        <v>70</v>
      </c>
      <c r="P288" s="458"/>
      <c r="Q288" s="429" t="s">
        <v>65</v>
      </c>
      <c r="R288" s="423">
        <f>IF(Таблица68[[#This Row],[Столбец2]]="A",1,IF(Таблица68[[#This Row],[Столбец2]]="B",2,IF(Таблица68[[#This Row],[Столбец2]]="C",3)))</f>
        <v>3</v>
      </c>
      <c r="S288" s="413" t="s">
        <v>1550</v>
      </c>
    </row>
    <row r="289" spans="1:19" ht="28">
      <c r="A289" s="423" t="s">
        <v>232</v>
      </c>
      <c r="B289" s="422" t="s">
        <v>1560</v>
      </c>
      <c r="C289" s="422" t="s">
        <v>1560</v>
      </c>
      <c r="D289" s="437" t="s">
        <v>1493</v>
      </c>
      <c r="E289" s="455"/>
      <c r="F289" s="455"/>
      <c r="G289" s="423">
        <v>350</v>
      </c>
      <c r="H289" s="455"/>
      <c r="I289" s="455"/>
      <c r="J289" s="455"/>
      <c r="K289" s="456"/>
      <c r="L289" s="457"/>
      <c r="M289" s="425">
        <v>780000</v>
      </c>
      <c r="N289" s="425">
        <f>M289*НДС!$A$1</f>
        <v>904799.99999999988</v>
      </c>
      <c r="O289" s="443" t="s">
        <v>70</v>
      </c>
      <c r="P289" s="458"/>
      <c r="Q289" s="429" t="s">
        <v>65</v>
      </c>
      <c r="R289" s="423">
        <f>IF(Таблица68[[#This Row],[Столбец2]]="A",1,IF(Таблица68[[#This Row],[Столбец2]]="B",2,IF(Таблица68[[#This Row],[Столбец2]]="C",3)))</f>
        <v>3</v>
      </c>
      <c r="S289" s="413" t="s">
        <v>1550</v>
      </c>
    </row>
    <row r="290" spans="1:19" ht="16.5">
      <c r="A290" s="423" t="s">
        <v>798</v>
      </c>
      <c r="B290" s="422" t="s">
        <v>1561</v>
      </c>
      <c r="C290" s="422" t="s">
        <v>1562</v>
      </c>
      <c r="D290" s="423" t="s">
        <v>1563</v>
      </c>
      <c r="E290" s="423" t="s">
        <v>1564</v>
      </c>
      <c r="F290" s="455"/>
      <c r="G290" s="423">
        <v>25</v>
      </c>
      <c r="H290" s="423">
        <v>52</v>
      </c>
      <c r="I290" s="423" t="s">
        <v>1472</v>
      </c>
      <c r="J290" s="423" t="s">
        <v>924</v>
      </c>
      <c r="K290" s="423" t="s">
        <v>925</v>
      </c>
      <c r="L290" s="423"/>
      <c r="M290" s="425">
        <v>156000</v>
      </c>
      <c r="N290" s="425">
        <f>M290*НДС!$A$1</f>
        <v>180960</v>
      </c>
      <c r="O290" s="443" t="s">
        <v>70</v>
      </c>
      <c r="P290" s="458"/>
      <c r="Q290" s="450" t="s">
        <v>61</v>
      </c>
      <c r="R290" s="423">
        <f>IF(Таблица68[[#This Row],[Столбец2]]="A",1,IF(Таблица68[[#This Row],[Столбец2]]="B",2,IF(Таблица68[[#This Row],[Столбец2]]="C",3)))</f>
        <v>2</v>
      </c>
      <c r="S290" s="413" t="s">
        <v>1553</v>
      </c>
    </row>
    <row r="291" spans="1:19" ht="16.5">
      <c r="A291" s="423" t="s">
        <v>790</v>
      </c>
      <c r="B291" s="422" t="s">
        <v>1561</v>
      </c>
      <c r="C291" s="422" t="s">
        <v>1565</v>
      </c>
      <c r="D291" s="423" t="s">
        <v>789</v>
      </c>
      <c r="E291" s="423" t="s">
        <v>1566</v>
      </c>
      <c r="F291" s="455"/>
      <c r="G291" s="423"/>
      <c r="H291" s="423">
        <v>40</v>
      </c>
      <c r="I291" s="423" t="s">
        <v>923</v>
      </c>
      <c r="J291" s="423" t="s">
        <v>924</v>
      </c>
      <c r="K291" s="423" t="s">
        <v>925</v>
      </c>
      <c r="L291" s="423"/>
      <c r="M291" s="425">
        <v>552000</v>
      </c>
      <c r="N291" s="425">
        <f>M291*НДС!$A$1</f>
        <v>640320</v>
      </c>
      <c r="O291" s="443" t="s">
        <v>910</v>
      </c>
      <c r="P291" s="458"/>
      <c r="Q291" s="450" t="s">
        <v>61</v>
      </c>
      <c r="R291" s="423">
        <f>IF(Таблица68[[#This Row],[Столбец2]]="A",1,IF(Таблица68[[#This Row],[Столбец2]]="B",2,IF(Таблица68[[#This Row],[Столбец2]]="C",3)))</f>
        <v>2</v>
      </c>
      <c r="S291" s="413" t="s">
        <v>1553</v>
      </c>
    </row>
    <row r="292" spans="1:19" ht="16.5">
      <c r="A292" s="423" t="s">
        <v>791</v>
      </c>
      <c r="B292" s="422" t="s">
        <v>1561</v>
      </c>
      <c r="C292" s="422" t="s">
        <v>1565</v>
      </c>
      <c r="D292" s="423" t="s">
        <v>789</v>
      </c>
      <c r="E292" s="423" t="s">
        <v>1567</v>
      </c>
      <c r="F292" s="455"/>
      <c r="G292" s="423"/>
      <c r="H292" s="423">
        <v>40</v>
      </c>
      <c r="I292" s="423" t="s">
        <v>923</v>
      </c>
      <c r="J292" s="423" t="s">
        <v>924</v>
      </c>
      <c r="K292" s="423" t="s">
        <v>925</v>
      </c>
      <c r="L292" s="423"/>
      <c r="M292" s="425">
        <v>654000</v>
      </c>
      <c r="N292" s="425">
        <f>M292*НДС!$A$1</f>
        <v>758640</v>
      </c>
      <c r="O292" s="443" t="s">
        <v>910</v>
      </c>
      <c r="P292" s="458"/>
      <c r="Q292" s="450" t="s">
        <v>61</v>
      </c>
      <c r="R292" s="423">
        <f>IF(Таблица68[[#This Row],[Столбец2]]="A",1,IF(Таблица68[[#This Row],[Столбец2]]="B",2,IF(Таблица68[[#This Row],[Столбец2]]="C",3)))</f>
        <v>2</v>
      </c>
      <c r="S292" s="413" t="s">
        <v>882</v>
      </c>
    </row>
    <row r="293" spans="1:19" ht="16.5">
      <c r="A293" s="423" t="s">
        <v>792</v>
      </c>
      <c r="B293" s="422" t="s">
        <v>1561</v>
      </c>
      <c r="C293" s="422" t="s">
        <v>1568</v>
      </c>
      <c r="D293" s="423" t="s">
        <v>789</v>
      </c>
      <c r="E293" s="423" t="s">
        <v>1569</v>
      </c>
      <c r="F293" s="455"/>
      <c r="G293" s="423"/>
      <c r="H293" s="423">
        <v>40</v>
      </c>
      <c r="I293" s="423" t="s">
        <v>923</v>
      </c>
      <c r="J293" s="423" t="s">
        <v>924</v>
      </c>
      <c r="K293" s="423" t="s">
        <v>925</v>
      </c>
      <c r="L293" s="423"/>
      <c r="M293" s="425">
        <v>1074000</v>
      </c>
      <c r="N293" s="425">
        <f>M293*НДС!$A$1</f>
        <v>1245840</v>
      </c>
      <c r="O293" s="443" t="s">
        <v>910</v>
      </c>
      <c r="P293" s="458"/>
      <c r="Q293" s="450" t="s">
        <v>61</v>
      </c>
      <c r="R293" s="423">
        <f>IF(Таблица68[[#This Row],[Столбец2]]="A",1,IF(Таблица68[[#This Row],[Столбец2]]="B",2,IF(Таблица68[[#This Row],[Столбец2]]="C",3)))</f>
        <v>2</v>
      </c>
      <c r="S293" s="413" t="s">
        <v>882</v>
      </c>
    </row>
    <row r="294" spans="1:19" ht="16.5">
      <c r="A294" s="423" t="s">
        <v>793</v>
      </c>
      <c r="B294" s="422" t="s">
        <v>1561</v>
      </c>
      <c r="C294" s="422" t="s">
        <v>1570</v>
      </c>
      <c r="D294" s="423" t="s">
        <v>789</v>
      </c>
      <c r="E294" s="423" t="s">
        <v>1571</v>
      </c>
      <c r="F294" s="455"/>
      <c r="G294" s="423"/>
      <c r="H294" s="423">
        <v>40</v>
      </c>
      <c r="I294" s="423" t="s">
        <v>923</v>
      </c>
      <c r="J294" s="423" t="s">
        <v>924</v>
      </c>
      <c r="K294" s="423" t="s">
        <v>925</v>
      </c>
      <c r="L294" s="423"/>
      <c r="M294" s="425">
        <v>1290000</v>
      </c>
      <c r="N294" s="425">
        <f>M294*НДС!$A$1</f>
        <v>1496400</v>
      </c>
      <c r="O294" s="443" t="s">
        <v>910</v>
      </c>
      <c r="P294" s="458"/>
      <c r="Q294" s="450" t="s">
        <v>61</v>
      </c>
      <c r="R294" s="423">
        <f>IF(Таблица68[[#This Row],[Столбец2]]="A",1,IF(Таблица68[[#This Row],[Столбец2]]="B",2,IF(Таблица68[[#This Row],[Столбец2]]="C",3)))</f>
        <v>2</v>
      </c>
      <c r="S294" s="413" t="s">
        <v>882</v>
      </c>
    </row>
    <row r="295" spans="1:19" ht="16.5">
      <c r="A295" s="423" t="s">
        <v>794</v>
      </c>
      <c r="B295" s="422" t="s">
        <v>1561</v>
      </c>
      <c r="C295" s="422" t="s">
        <v>1572</v>
      </c>
      <c r="D295" s="423" t="s">
        <v>789</v>
      </c>
      <c r="E295" s="423" t="s">
        <v>1573</v>
      </c>
      <c r="F295" s="455"/>
      <c r="G295" s="423"/>
      <c r="H295" s="423">
        <v>40</v>
      </c>
      <c r="I295" s="423" t="s">
        <v>923</v>
      </c>
      <c r="J295" s="423" t="s">
        <v>924</v>
      </c>
      <c r="K295" s="423" t="s">
        <v>925</v>
      </c>
      <c r="L295" s="423"/>
      <c r="M295" s="425">
        <v>1560000</v>
      </c>
      <c r="N295" s="425">
        <f>M295*НДС!$A$1</f>
        <v>1809599.9999999998</v>
      </c>
      <c r="O295" s="443" t="s">
        <v>910</v>
      </c>
      <c r="P295" s="458"/>
      <c r="Q295" s="450" t="s">
        <v>61</v>
      </c>
      <c r="R295" s="423">
        <f>IF(Таблица68[[#This Row],[Столбец2]]="A",1,IF(Таблица68[[#This Row],[Столбец2]]="B",2,IF(Таблица68[[#This Row],[Столбец2]]="C",3)))</f>
        <v>2</v>
      </c>
      <c r="S295" s="413" t="s">
        <v>882</v>
      </c>
    </row>
    <row r="296" spans="1:19" ht="16.5">
      <c r="A296" s="423" t="s">
        <v>795</v>
      </c>
      <c r="B296" s="422" t="s">
        <v>1561</v>
      </c>
      <c r="C296" s="422" t="s">
        <v>1574</v>
      </c>
      <c r="D296" s="423" t="s">
        <v>789</v>
      </c>
      <c r="E296" s="423" t="s">
        <v>1575</v>
      </c>
      <c r="F296" s="455"/>
      <c r="G296" s="423"/>
      <c r="H296" s="423">
        <v>40</v>
      </c>
      <c r="I296" s="423" t="s">
        <v>923</v>
      </c>
      <c r="J296" s="423" t="s">
        <v>924</v>
      </c>
      <c r="K296" s="423" t="s">
        <v>925</v>
      </c>
      <c r="L296" s="423"/>
      <c r="M296" s="425">
        <v>1740000</v>
      </c>
      <c r="N296" s="425">
        <f>M296*НДС!$A$1</f>
        <v>2018399.9999999998</v>
      </c>
      <c r="O296" s="443" t="s">
        <v>910</v>
      </c>
      <c r="P296" s="458"/>
      <c r="Q296" s="450" t="s">
        <v>61</v>
      </c>
      <c r="R296" s="423">
        <f>IF(Таблица68[[#This Row],[Столбец2]]="A",1,IF(Таблица68[[#This Row],[Столбец2]]="B",2,IF(Таблица68[[#This Row],[Столбец2]]="C",3)))</f>
        <v>2</v>
      </c>
      <c r="S296" s="413" t="s">
        <v>882</v>
      </c>
    </row>
    <row r="297" spans="1:19" ht="16.5">
      <c r="A297" s="423" t="s">
        <v>796</v>
      </c>
      <c r="B297" s="422" t="s">
        <v>1561</v>
      </c>
      <c r="C297" s="422" t="s">
        <v>1576</v>
      </c>
      <c r="D297" s="423" t="s">
        <v>789</v>
      </c>
      <c r="E297" s="423" t="s">
        <v>1577</v>
      </c>
      <c r="F297" s="455"/>
      <c r="G297" s="423"/>
      <c r="H297" s="423">
        <v>40</v>
      </c>
      <c r="I297" s="423" t="s">
        <v>923</v>
      </c>
      <c r="J297" s="423" t="s">
        <v>924</v>
      </c>
      <c r="K297" s="423" t="s">
        <v>925</v>
      </c>
      <c r="L297" s="423"/>
      <c r="M297" s="425">
        <v>2220000</v>
      </c>
      <c r="N297" s="425">
        <f>M297*НДС!$A$1</f>
        <v>2575200</v>
      </c>
      <c r="O297" s="443" t="s">
        <v>910</v>
      </c>
      <c r="P297" s="458"/>
      <c r="Q297" s="450" t="s">
        <v>61</v>
      </c>
      <c r="R297" s="423">
        <f>IF(Таблица68[[#This Row],[Столбец2]]="A",1,IF(Таблица68[[#This Row],[Столбец2]]="B",2,IF(Таблица68[[#This Row],[Столбец2]]="C",3)))</f>
        <v>2</v>
      </c>
      <c r="S297" s="413" t="s">
        <v>882</v>
      </c>
    </row>
    <row r="298" spans="1:19" ht="20.9" customHeight="1">
      <c r="A298" s="423" t="s">
        <v>700</v>
      </c>
      <c r="B298" s="424" t="s">
        <v>1578</v>
      </c>
      <c r="C298" s="424" t="s">
        <v>1578</v>
      </c>
      <c r="D298" s="423" t="s">
        <v>1579</v>
      </c>
      <c r="E298" s="424" t="s">
        <v>1578</v>
      </c>
      <c r="F298" s="455"/>
      <c r="G298" s="455" t="s">
        <v>86</v>
      </c>
      <c r="H298" s="455">
        <v>63</v>
      </c>
      <c r="I298" s="423" t="s">
        <v>346</v>
      </c>
      <c r="J298" s="424" t="s">
        <v>1580</v>
      </c>
      <c r="K298" s="423" t="s">
        <v>1581</v>
      </c>
      <c r="L298" s="457"/>
      <c r="M298" s="425">
        <v>834000</v>
      </c>
      <c r="N298" s="425">
        <f>M298*НДС!$A$1</f>
        <v>967439.99999999988</v>
      </c>
      <c r="O298" s="443" t="s">
        <v>70</v>
      </c>
      <c r="P298" s="458"/>
      <c r="Q298" s="427" t="s">
        <v>58</v>
      </c>
      <c r="R298" s="423">
        <f>IF(Таблица68[[#This Row],[Столбец2]]="A",1,IF(Таблица68[[#This Row],[Столбец2]]="B",2,IF(Таблица68[[#This Row],[Столбец2]]="C",3)))</f>
        <v>1</v>
      </c>
      <c r="S298" s="413" t="s">
        <v>875</v>
      </c>
    </row>
    <row r="299" spans="1:19" ht="16.5">
      <c r="A299" s="423" t="s">
        <v>701</v>
      </c>
      <c r="B299" s="422" t="s">
        <v>1582</v>
      </c>
      <c r="C299" s="422" t="s">
        <v>1582</v>
      </c>
      <c r="D299" s="455"/>
      <c r="E299" s="455" t="s">
        <v>1583</v>
      </c>
      <c r="F299" s="455"/>
      <c r="G299" s="455" t="s">
        <v>86</v>
      </c>
      <c r="H299" s="455" t="s">
        <v>86</v>
      </c>
      <c r="I299" s="455" t="s">
        <v>86</v>
      </c>
      <c r="J299" s="455" t="s">
        <v>86</v>
      </c>
      <c r="K299" s="456" t="s">
        <v>1584</v>
      </c>
      <c r="L299" s="457"/>
      <c r="M299" s="425">
        <v>29400</v>
      </c>
      <c r="N299" s="425">
        <f>M299*НДС!$A$1</f>
        <v>34104</v>
      </c>
      <c r="O299" s="443" t="s">
        <v>70</v>
      </c>
      <c r="P299" s="458"/>
      <c r="Q299" s="450" t="s">
        <v>61</v>
      </c>
      <c r="R299" s="423">
        <f>IF(Таблица68[[#This Row],[Столбец2]]="A",1,IF(Таблица68[[#This Row],[Столбец2]]="B",2,IF(Таблица68[[#This Row],[Столбец2]]="C",3)))</f>
        <v>2</v>
      </c>
      <c r="S299" s="413" t="s">
        <v>882</v>
      </c>
    </row>
    <row r="300" spans="1:19" ht="26">
      <c r="A300" s="459" t="s">
        <v>708</v>
      </c>
      <c r="B300" s="422" t="s">
        <v>1585</v>
      </c>
      <c r="C300" s="422" t="s">
        <v>1585</v>
      </c>
      <c r="D300" s="437" t="s">
        <v>1586</v>
      </c>
      <c r="E300" s="437" t="s">
        <v>1587</v>
      </c>
      <c r="F300" s="437">
        <v>12</v>
      </c>
      <c r="G300" s="437">
        <v>20</v>
      </c>
      <c r="H300" s="460"/>
      <c r="I300" s="423" t="s">
        <v>1588</v>
      </c>
      <c r="J300" s="423" t="s">
        <v>924</v>
      </c>
      <c r="K300" s="461" t="s">
        <v>1589</v>
      </c>
      <c r="L300" s="462"/>
      <c r="M300" s="463">
        <v>360000</v>
      </c>
      <c r="N300" s="425">
        <f>M300*НДС!$A$1</f>
        <v>417600</v>
      </c>
      <c r="O300" s="443" t="s">
        <v>70</v>
      </c>
      <c r="P300" s="464"/>
      <c r="Q300" s="429" t="s">
        <v>65</v>
      </c>
      <c r="R300" s="423">
        <f>IF(Таблица68[[#This Row],[Столбец2]]="A",1,IF(Таблица68[[#This Row],[Столбец2]]="B",2,IF(Таблица68[[#This Row],[Столбец2]]="C",3)))</f>
        <v>3</v>
      </c>
      <c r="S300" s="413" t="s">
        <v>878</v>
      </c>
    </row>
    <row r="301" spans="1:19" ht="26">
      <c r="A301" s="459" t="s">
        <v>710</v>
      </c>
      <c r="B301" s="422" t="s">
        <v>1590</v>
      </c>
      <c r="C301" s="422" t="s">
        <v>1590</v>
      </c>
      <c r="D301" s="437" t="s">
        <v>1586</v>
      </c>
      <c r="E301" s="437" t="s">
        <v>1587</v>
      </c>
      <c r="F301" s="437">
        <v>13</v>
      </c>
      <c r="G301" s="437">
        <v>20</v>
      </c>
      <c r="H301" s="460"/>
      <c r="I301" s="423" t="s">
        <v>1588</v>
      </c>
      <c r="J301" s="423" t="s">
        <v>924</v>
      </c>
      <c r="K301" s="461" t="s">
        <v>1589</v>
      </c>
      <c r="L301" s="462"/>
      <c r="M301" s="463">
        <v>360000</v>
      </c>
      <c r="N301" s="425">
        <f>M301*НДС!$A$1</f>
        <v>417600</v>
      </c>
      <c r="O301" s="443" t="s">
        <v>70</v>
      </c>
      <c r="P301" s="464"/>
      <c r="Q301" s="429" t="s">
        <v>65</v>
      </c>
      <c r="R301" s="423">
        <f>IF(Таблица68[[#This Row],[Столбец2]]="A",1,IF(Таблица68[[#This Row],[Столбец2]]="B",2,IF(Таблица68[[#This Row],[Столбец2]]="C",3)))</f>
        <v>3</v>
      </c>
      <c r="S301" s="413" t="s">
        <v>878</v>
      </c>
    </row>
    <row r="302" spans="1:19" ht="26">
      <c r="A302" s="459" t="s">
        <v>712</v>
      </c>
      <c r="B302" s="422" t="s">
        <v>1591</v>
      </c>
      <c r="C302" s="422" t="s">
        <v>1591</v>
      </c>
      <c r="D302" s="437" t="s">
        <v>1586</v>
      </c>
      <c r="E302" s="437" t="s">
        <v>1587</v>
      </c>
      <c r="F302" s="437">
        <v>14</v>
      </c>
      <c r="G302" s="437">
        <v>20</v>
      </c>
      <c r="I302" s="423" t="s">
        <v>1588</v>
      </c>
      <c r="J302" s="423" t="s">
        <v>924</v>
      </c>
      <c r="K302" s="461" t="s">
        <v>1589</v>
      </c>
      <c r="L302" s="462"/>
      <c r="M302" s="463">
        <v>360000</v>
      </c>
      <c r="N302" s="425">
        <f>M302*НДС!$A$1</f>
        <v>417600</v>
      </c>
      <c r="O302" s="443" t="s">
        <v>70</v>
      </c>
      <c r="Q302" s="429" t="s">
        <v>65</v>
      </c>
      <c r="R302" s="423">
        <f>IF(Таблица68[[#This Row],[Столбец2]]="A",1,IF(Таблица68[[#This Row],[Столбец2]]="B",2,IF(Таблица68[[#This Row],[Столбец2]]="C",3)))</f>
        <v>3</v>
      </c>
      <c r="S302" s="413" t="s">
        <v>878</v>
      </c>
    </row>
    <row r="303" spans="1:19" ht="26">
      <c r="A303" s="459" t="s">
        <v>714</v>
      </c>
      <c r="B303" s="422" t="s">
        <v>1592</v>
      </c>
      <c r="C303" s="422" t="s">
        <v>1592</v>
      </c>
      <c r="D303" s="437" t="s">
        <v>1586</v>
      </c>
      <c r="E303" s="437" t="s">
        <v>1587</v>
      </c>
      <c r="F303" s="437">
        <v>15</v>
      </c>
      <c r="G303" s="437">
        <v>20</v>
      </c>
      <c r="I303" s="423" t="s">
        <v>1588</v>
      </c>
      <c r="J303" s="423" t="s">
        <v>924</v>
      </c>
      <c r="K303" s="461" t="s">
        <v>1589</v>
      </c>
      <c r="L303" s="462"/>
      <c r="M303" s="463">
        <v>360000</v>
      </c>
      <c r="N303" s="425">
        <f>M303*НДС!$A$1</f>
        <v>417600</v>
      </c>
      <c r="O303" s="443" t="s">
        <v>70</v>
      </c>
      <c r="Q303" s="429" t="s">
        <v>65</v>
      </c>
      <c r="R303" s="423">
        <f>IF(Таблица68[[#This Row],[Столбец2]]="A",1,IF(Таблица68[[#This Row],[Столбец2]]="B",2,IF(Таблица68[[#This Row],[Столбец2]]="C",3)))</f>
        <v>3</v>
      </c>
      <c r="S303" s="413" t="s">
        <v>878</v>
      </c>
    </row>
    <row r="304" spans="1:19" ht="26">
      <c r="A304" s="459" t="s">
        <v>715</v>
      </c>
      <c r="B304" s="422" t="s">
        <v>1593</v>
      </c>
      <c r="C304" s="422" t="s">
        <v>1593</v>
      </c>
      <c r="D304" s="437" t="s">
        <v>1586</v>
      </c>
      <c r="E304" s="437" t="s">
        <v>1587</v>
      </c>
      <c r="F304" s="437">
        <v>16</v>
      </c>
      <c r="G304" s="437">
        <v>20</v>
      </c>
      <c r="I304" s="423" t="s">
        <v>1588</v>
      </c>
      <c r="J304" s="423" t="s">
        <v>924</v>
      </c>
      <c r="K304" s="461" t="s">
        <v>1589</v>
      </c>
      <c r="L304" s="462"/>
      <c r="M304" s="463">
        <v>360000</v>
      </c>
      <c r="N304" s="425">
        <f>M304*НДС!$A$1</f>
        <v>417600</v>
      </c>
      <c r="O304" s="443" t="s">
        <v>70</v>
      </c>
      <c r="Q304" s="429" t="s">
        <v>65</v>
      </c>
      <c r="R304" s="423">
        <f>IF(Таблица68[[#This Row],[Столбец2]]="A",1,IF(Таблица68[[#This Row],[Столбец2]]="B",2,IF(Таблица68[[#This Row],[Столбец2]]="C",3)))</f>
        <v>3</v>
      </c>
      <c r="S304" s="413" t="s">
        <v>878</v>
      </c>
    </row>
    <row r="305" spans="1:19" ht="26">
      <c r="A305" s="459" t="s">
        <v>716</v>
      </c>
      <c r="B305" s="422" t="s">
        <v>1594</v>
      </c>
      <c r="C305" s="422" t="s">
        <v>1594</v>
      </c>
      <c r="D305" s="437" t="s">
        <v>1586</v>
      </c>
      <c r="E305" s="437" t="s">
        <v>1587</v>
      </c>
      <c r="F305" s="437">
        <v>17</v>
      </c>
      <c r="G305" s="437">
        <v>20</v>
      </c>
      <c r="I305" s="423" t="s">
        <v>1588</v>
      </c>
      <c r="J305" s="423" t="s">
        <v>924</v>
      </c>
      <c r="K305" s="461" t="s">
        <v>1589</v>
      </c>
      <c r="L305" s="462"/>
      <c r="M305" s="463">
        <v>360000</v>
      </c>
      <c r="N305" s="425">
        <f>M305*НДС!$A$1</f>
        <v>417600</v>
      </c>
      <c r="O305" s="443" t="s">
        <v>70</v>
      </c>
      <c r="Q305" s="429" t="s">
        <v>65</v>
      </c>
      <c r="R305" s="423">
        <f>IF(Таблица68[[#This Row],[Столбец2]]="A",1,IF(Таблица68[[#This Row],[Столбец2]]="B",2,IF(Таблица68[[#This Row],[Столбец2]]="C",3)))</f>
        <v>3</v>
      </c>
      <c r="S305" s="413" t="s">
        <v>878</v>
      </c>
    </row>
    <row r="306" spans="1:19" ht="26">
      <c r="A306" s="459" t="s">
        <v>717</v>
      </c>
      <c r="B306" s="422" t="s">
        <v>1595</v>
      </c>
      <c r="C306" s="422" t="s">
        <v>1595</v>
      </c>
      <c r="D306" s="437" t="s">
        <v>1586</v>
      </c>
      <c r="E306" s="437" t="s">
        <v>1587</v>
      </c>
      <c r="F306" s="437">
        <v>18</v>
      </c>
      <c r="G306" s="437">
        <v>20</v>
      </c>
      <c r="I306" s="423" t="s">
        <v>1588</v>
      </c>
      <c r="J306" s="423" t="s">
        <v>924</v>
      </c>
      <c r="K306" s="461" t="s">
        <v>1589</v>
      </c>
      <c r="L306" s="462"/>
      <c r="M306" s="463">
        <v>360000</v>
      </c>
      <c r="N306" s="425">
        <f>M306*НДС!$A$1</f>
        <v>417600</v>
      </c>
      <c r="O306" s="443" t="s">
        <v>70</v>
      </c>
      <c r="Q306" s="454" t="s">
        <v>65</v>
      </c>
      <c r="R306" s="423">
        <f>IF(Таблица68[[#This Row],[Столбец2]]="A",1,IF(Таблица68[[#This Row],[Столбец2]]="B",2,IF(Таблица68[[#This Row],[Столбец2]]="C",3)))</f>
        <v>3</v>
      </c>
      <c r="S306" s="413" t="s">
        <v>878</v>
      </c>
    </row>
    <row r="307" spans="1:19" ht="26">
      <c r="A307" s="459" t="s">
        <v>718</v>
      </c>
      <c r="B307" s="422" t="s">
        <v>1596</v>
      </c>
      <c r="C307" s="422" t="s">
        <v>1596</v>
      </c>
      <c r="D307" s="437" t="s">
        <v>1586</v>
      </c>
      <c r="E307" s="437" t="s">
        <v>1587</v>
      </c>
      <c r="F307" s="437">
        <v>19</v>
      </c>
      <c r="G307" s="437">
        <v>20</v>
      </c>
      <c r="I307" s="423" t="s">
        <v>1588</v>
      </c>
      <c r="J307" s="423" t="s">
        <v>924</v>
      </c>
      <c r="K307" s="461" t="s">
        <v>1589</v>
      </c>
      <c r="L307" s="462"/>
      <c r="M307" s="463">
        <v>360000</v>
      </c>
      <c r="N307" s="425">
        <f>M307*НДС!$A$1</f>
        <v>417600</v>
      </c>
      <c r="O307" s="443" t="s">
        <v>70</v>
      </c>
      <c r="Q307" s="429" t="s">
        <v>65</v>
      </c>
      <c r="R307" s="423">
        <f>IF(Таблица68[[#This Row],[Столбец2]]="A",1,IF(Таблица68[[#This Row],[Столбец2]]="B",2,IF(Таблица68[[#This Row],[Столбец2]]="C",3)))</f>
        <v>3</v>
      </c>
      <c r="S307" s="413" t="s">
        <v>878</v>
      </c>
    </row>
    <row r="308" spans="1:19" ht="26">
      <c r="A308" s="459" t="s">
        <v>719</v>
      </c>
      <c r="B308" s="422" t="s">
        <v>1597</v>
      </c>
      <c r="C308" s="422" t="s">
        <v>1597</v>
      </c>
      <c r="D308" s="437" t="s">
        <v>1586</v>
      </c>
      <c r="E308" s="437" t="s">
        <v>1587</v>
      </c>
      <c r="F308" s="437">
        <v>20</v>
      </c>
      <c r="G308" s="437">
        <v>20</v>
      </c>
      <c r="I308" s="423" t="s">
        <v>1588</v>
      </c>
      <c r="J308" s="423" t="s">
        <v>924</v>
      </c>
      <c r="K308" s="461" t="s">
        <v>1589</v>
      </c>
      <c r="L308" s="462"/>
      <c r="M308" s="463">
        <v>360000</v>
      </c>
      <c r="N308" s="425">
        <f>M308*НДС!$A$1</f>
        <v>417600</v>
      </c>
      <c r="O308" s="443" t="s">
        <v>70</v>
      </c>
      <c r="Q308" s="429" t="s">
        <v>65</v>
      </c>
      <c r="R308" s="423">
        <f>IF(Таблица68[[#This Row],[Столбец2]]="A",1,IF(Таблица68[[#This Row],[Столбец2]]="B",2,IF(Таблица68[[#This Row],[Столбец2]]="C",3)))</f>
        <v>3</v>
      </c>
      <c r="S308" s="413" t="s">
        <v>878</v>
      </c>
    </row>
    <row r="309" spans="1:19" ht="26">
      <c r="A309" s="459" t="s">
        <v>720</v>
      </c>
      <c r="B309" s="422" t="s">
        <v>1598</v>
      </c>
      <c r="C309" s="422" t="s">
        <v>1598</v>
      </c>
      <c r="D309" s="437" t="s">
        <v>1586</v>
      </c>
      <c r="E309" s="437" t="s">
        <v>1587</v>
      </c>
      <c r="F309" s="437">
        <v>21</v>
      </c>
      <c r="G309" s="437">
        <v>20</v>
      </c>
      <c r="I309" s="423" t="s">
        <v>1588</v>
      </c>
      <c r="J309" s="423" t="s">
        <v>924</v>
      </c>
      <c r="K309" s="461" t="s">
        <v>1589</v>
      </c>
      <c r="L309" s="462"/>
      <c r="M309" s="463">
        <v>360000</v>
      </c>
      <c r="N309" s="425">
        <f>M309*НДС!$A$1</f>
        <v>417600</v>
      </c>
      <c r="O309" s="443" t="s">
        <v>70</v>
      </c>
      <c r="Q309" s="429" t="s">
        <v>65</v>
      </c>
      <c r="R309" s="423">
        <f>IF(Таблица68[[#This Row],[Столбец2]]="A",1,IF(Таблица68[[#This Row],[Столбец2]]="B",2,IF(Таблица68[[#This Row],[Столбец2]]="C",3)))</f>
        <v>3</v>
      </c>
      <c r="S309" s="413" t="s">
        <v>878</v>
      </c>
    </row>
    <row r="310" spans="1:19" ht="26">
      <c r="A310" s="459" t="s">
        <v>721</v>
      </c>
      <c r="B310" s="422" t="s">
        <v>1599</v>
      </c>
      <c r="C310" s="422" t="s">
        <v>1599</v>
      </c>
      <c r="D310" s="437" t="s">
        <v>1586</v>
      </c>
      <c r="E310" s="437" t="s">
        <v>1587</v>
      </c>
      <c r="F310" s="437">
        <v>22</v>
      </c>
      <c r="G310" s="437">
        <v>20</v>
      </c>
      <c r="I310" s="423" t="s">
        <v>1588</v>
      </c>
      <c r="J310" s="423" t="s">
        <v>924</v>
      </c>
      <c r="K310" s="461" t="s">
        <v>1589</v>
      </c>
      <c r="L310" s="462"/>
      <c r="M310" s="463">
        <v>360000</v>
      </c>
      <c r="N310" s="425">
        <f>M310*НДС!$A$1</f>
        <v>417600</v>
      </c>
      <c r="O310" s="443" t="s">
        <v>70</v>
      </c>
      <c r="Q310" s="429" t="s">
        <v>65</v>
      </c>
      <c r="R310" s="423">
        <f>IF(Таблица68[[#This Row],[Столбец2]]="A",1,IF(Таблица68[[#This Row],[Столбец2]]="B",2,IF(Таблица68[[#This Row],[Столбец2]]="C",3)))</f>
        <v>3</v>
      </c>
      <c r="S310" s="413" t="s">
        <v>878</v>
      </c>
    </row>
    <row r="311" spans="1:19" ht="26">
      <c r="A311" s="459" t="s">
        <v>722</v>
      </c>
      <c r="B311" s="422" t="s">
        <v>1600</v>
      </c>
      <c r="C311" s="422" t="s">
        <v>1600</v>
      </c>
      <c r="D311" s="437" t="s">
        <v>1586</v>
      </c>
      <c r="E311" s="437" t="s">
        <v>1587</v>
      </c>
      <c r="F311" s="437">
        <v>23</v>
      </c>
      <c r="G311" s="437">
        <v>20</v>
      </c>
      <c r="I311" s="423" t="s">
        <v>1588</v>
      </c>
      <c r="J311" s="423" t="s">
        <v>924</v>
      </c>
      <c r="K311" s="461" t="s">
        <v>1589</v>
      </c>
      <c r="L311" s="462"/>
      <c r="M311" s="463">
        <v>360000</v>
      </c>
      <c r="N311" s="425">
        <f>M311*НДС!$A$1</f>
        <v>417600</v>
      </c>
      <c r="O311" s="443" t="s">
        <v>70</v>
      </c>
      <c r="Q311" s="429" t="s">
        <v>65</v>
      </c>
      <c r="R311" s="423">
        <f>IF(Таблица68[[#This Row],[Столбец2]]="A",1,IF(Таблица68[[#This Row],[Столбец2]]="B",2,IF(Таблица68[[#This Row],[Столбец2]]="C",3)))</f>
        <v>3</v>
      </c>
      <c r="S311" s="413" t="s">
        <v>878</v>
      </c>
    </row>
    <row r="312" spans="1:19" ht="26">
      <c r="A312" s="459" t="s">
        <v>723</v>
      </c>
      <c r="B312" s="422" t="s">
        <v>1601</v>
      </c>
      <c r="C312" s="422" t="s">
        <v>1601</v>
      </c>
      <c r="D312" s="437" t="s">
        <v>1586</v>
      </c>
      <c r="E312" s="437" t="s">
        <v>1587</v>
      </c>
      <c r="F312" s="437">
        <v>24</v>
      </c>
      <c r="G312" s="437">
        <v>20</v>
      </c>
      <c r="I312" s="423" t="s">
        <v>1588</v>
      </c>
      <c r="J312" s="423" t="s">
        <v>924</v>
      </c>
      <c r="K312" s="461" t="s">
        <v>1589</v>
      </c>
      <c r="L312" s="462"/>
      <c r="M312" s="463">
        <v>360000</v>
      </c>
      <c r="N312" s="425">
        <f>M312*НДС!$A$1</f>
        <v>417600</v>
      </c>
      <c r="O312" s="443" t="s">
        <v>70</v>
      </c>
      <c r="Q312" s="429" t="s">
        <v>65</v>
      </c>
      <c r="R312" s="423">
        <f>IF(Таблица68[[#This Row],[Столбец2]]="A",1,IF(Таблица68[[#This Row],[Столбец2]]="B",2,IF(Таблица68[[#This Row],[Столбец2]]="C",3)))</f>
        <v>3</v>
      </c>
      <c r="S312" s="413" t="s">
        <v>878</v>
      </c>
    </row>
    <row r="313" spans="1:19" ht="26">
      <c r="A313" s="459" t="s">
        <v>724</v>
      </c>
      <c r="B313" s="422" t="s">
        <v>1602</v>
      </c>
      <c r="C313" s="422" t="s">
        <v>1602</v>
      </c>
      <c r="D313" s="437" t="s">
        <v>1586</v>
      </c>
      <c r="E313" s="437" t="s">
        <v>1587</v>
      </c>
      <c r="F313" s="437">
        <v>25</v>
      </c>
      <c r="G313" s="437">
        <v>20</v>
      </c>
      <c r="I313" s="423" t="s">
        <v>1588</v>
      </c>
      <c r="J313" s="423" t="s">
        <v>924</v>
      </c>
      <c r="K313" s="461" t="s">
        <v>1589</v>
      </c>
      <c r="L313" s="462"/>
      <c r="M313" s="463">
        <v>360000</v>
      </c>
      <c r="N313" s="425">
        <f>M313*НДС!$A$1</f>
        <v>417600</v>
      </c>
      <c r="O313" s="443" t="s">
        <v>70</v>
      </c>
      <c r="Q313" s="429" t="s">
        <v>65</v>
      </c>
      <c r="R313" s="423">
        <f>IF(Таблица68[[#This Row],[Столбец2]]="A",1,IF(Таблица68[[#This Row],[Столбец2]]="B",2,IF(Таблица68[[#This Row],[Столбец2]]="C",3)))</f>
        <v>3</v>
      </c>
      <c r="S313" s="413" t="s">
        <v>878</v>
      </c>
    </row>
    <row r="314" spans="1:19" ht="26">
      <c r="A314" s="459" t="s">
        <v>725</v>
      </c>
      <c r="B314" s="422" t="s">
        <v>1603</v>
      </c>
      <c r="C314" s="422" t="s">
        <v>1603</v>
      </c>
      <c r="D314" s="437" t="s">
        <v>1586</v>
      </c>
      <c r="E314" s="437" t="s">
        <v>1587</v>
      </c>
      <c r="F314" s="437">
        <v>26</v>
      </c>
      <c r="G314" s="437">
        <v>20</v>
      </c>
      <c r="I314" s="423" t="s">
        <v>1588</v>
      </c>
      <c r="J314" s="423" t="s">
        <v>924</v>
      </c>
      <c r="K314" s="461" t="s">
        <v>1589</v>
      </c>
      <c r="L314" s="462"/>
      <c r="M314" s="463">
        <v>360000</v>
      </c>
      <c r="N314" s="425">
        <f>M314*НДС!$A$1</f>
        <v>417600</v>
      </c>
      <c r="O314" s="443" t="s">
        <v>70</v>
      </c>
      <c r="Q314" s="429" t="s">
        <v>65</v>
      </c>
      <c r="R314" s="423">
        <f>IF(Таблица68[[#This Row],[Столбец2]]="A",1,IF(Таблица68[[#This Row],[Столбец2]]="B",2,IF(Таблица68[[#This Row],[Столбец2]]="C",3)))</f>
        <v>3</v>
      </c>
      <c r="S314" s="413" t="s">
        <v>878</v>
      </c>
    </row>
    <row r="315" spans="1:19" ht="26">
      <c r="A315" s="459" t="s">
        <v>726</v>
      </c>
      <c r="B315" s="422" t="s">
        <v>1604</v>
      </c>
      <c r="C315" s="422" t="s">
        <v>1604</v>
      </c>
      <c r="D315" s="437" t="s">
        <v>1586</v>
      </c>
      <c r="E315" s="437" t="s">
        <v>1587</v>
      </c>
      <c r="F315" s="437">
        <v>27</v>
      </c>
      <c r="G315" s="437">
        <v>20</v>
      </c>
      <c r="I315" s="423" t="s">
        <v>1588</v>
      </c>
      <c r="J315" s="423" t="s">
        <v>924</v>
      </c>
      <c r="K315" s="461" t="s">
        <v>1589</v>
      </c>
      <c r="L315" s="462"/>
      <c r="M315" s="463">
        <v>360000</v>
      </c>
      <c r="N315" s="425">
        <f>M315*НДС!$A$1</f>
        <v>417600</v>
      </c>
      <c r="O315" s="443" t="s">
        <v>70</v>
      </c>
      <c r="Q315" s="429" t="s">
        <v>65</v>
      </c>
      <c r="R315" s="423">
        <f>IF(Таблица68[[#This Row],[Столбец2]]="A",1,IF(Таблица68[[#This Row],[Столбец2]]="B",2,IF(Таблица68[[#This Row],[Столбец2]]="C",3)))</f>
        <v>3</v>
      </c>
      <c r="S315" s="413" t="s">
        <v>878</v>
      </c>
    </row>
    <row r="316" spans="1:19" ht="26">
      <c r="A316" s="459" t="s">
        <v>727</v>
      </c>
      <c r="B316" s="422" t="s">
        <v>1605</v>
      </c>
      <c r="C316" s="422" t="s">
        <v>1605</v>
      </c>
      <c r="D316" s="437" t="s">
        <v>1586</v>
      </c>
      <c r="E316" s="437" t="s">
        <v>1587</v>
      </c>
      <c r="F316" s="437">
        <v>28</v>
      </c>
      <c r="G316" s="437">
        <v>20</v>
      </c>
      <c r="I316" s="423" t="s">
        <v>1588</v>
      </c>
      <c r="J316" s="423" t="s">
        <v>924</v>
      </c>
      <c r="K316" s="461" t="s">
        <v>1589</v>
      </c>
      <c r="L316" s="462"/>
      <c r="M316" s="463">
        <v>360000</v>
      </c>
      <c r="N316" s="425">
        <f>M316*НДС!$A$1</f>
        <v>417600</v>
      </c>
      <c r="O316" s="443" t="s">
        <v>70</v>
      </c>
      <c r="Q316" s="429" t="s">
        <v>65</v>
      </c>
      <c r="R316" s="423">
        <f>IF(Таблица68[[#This Row],[Столбец2]]="A",1,IF(Таблица68[[#This Row],[Столбец2]]="B",2,IF(Таблица68[[#This Row],[Столбец2]]="C",3)))</f>
        <v>3</v>
      </c>
      <c r="S316" s="413" t="s">
        <v>878</v>
      </c>
    </row>
    <row r="317" spans="1:19" ht="26">
      <c r="A317" s="459" t="s">
        <v>728</v>
      </c>
      <c r="B317" s="422" t="s">
        <v>1606</v>
      </c>
      <c r="C317" s="422" t="s">
        <v>1606</v>
      </c>
      <c r="D317" s="437" t="s">
        <v>1586</v>
      </c>
      <c r="E317" s="437" t="s">
        <v>1587</v>
      </c>
      <c r="F317" s="437">
        <v>29</v>
      </c>
      <c r="G317" s="437">
        <v>20</v>
      </c>
      <c r="I317" s="423" t="s">
        <v>1588</v>
      </c>
      <c r="J317" s="423" t="s">
        <v>924</v>
      </c>
      <c r="K317" s="461" t="s">
        <v>1589</v>
      </c>
      <c r="L317" s="462"/>
      <c r="M317" s="463">
        <v>360000</v>
      </c>
      <c r="N317" s="425">
        <f>M317*НДС!$A$1</f>
        <v>417600</v>
      </c>
      <c r="O317" s="443" t="s">
        <v>70</v>
      </c>
      <c r="Q317" s="429" t="s">
        <v>65</v>
      </c>
      <c r="R317" s="423">
        <f>IF(Таблица68[[#This Row],[Столбец2]]="A",1,IF(Таблица68[[#This Row],[Столбец2]]="B",2,IF(Таблица68[[#This Row],[Столбец2]]="C",3)))</f>
        <v>3</v>
      </c>
      <c r="S317" s="413" t="s">
        <v>878</v>
      </c>
    </row>
    <row r="318" spans="1:19" ht="26">
      <c r="A318" s="459" t="s">
        <v>729</v>
      </c>
      <c r="B318" s="422" t="s">
        <v>1607</v>
      </c>
      <c r="C318" s="422" t="s">
        <v>1607</v>
      </c>
      <c r="D318" s="437" t="s">
        <v>1586</v>
      </c>
      <c r="E318" s="437" t="s">
        <v>1587</v>
      </c>
      <c r="F318" s="437">
        <v>30</v>
      </c>
      <c r="G318" s="437">
        <v>20</v>
      </c>
      <c r="I318" s="423" t="s">
        <v>1588</v>
      </c>
      <c r="J318" s="423" t="s">
        <v>924</v>
      </c>
      <c r="K318" s="461" t="s">
        <v>1589</v>
      </c>
      <c r="L318" s="462"/>
      <c r="M318" s="463">
        <v>360000</v>
      </c>
      <c r="N318" s="425">
        <f>M318*НДС!$A$1</f>
        <v>417600</v>
      </c>
      <c r="O318" s="443" t="s">
        <v>70</v>
      </c>
      <c r="Q318" s="429" t="s">
        <v>65</v>
      </c>
      <c r="R318" s="423">
        <f>IF(Таблица68[[#This Row],[Столбец2]]="A",1,IF(Таблица68[[#This Row],[Столбец2]]="B",2,IF(Таблица68[[#This Row],[Столбец2]]="C",3)))</f>
        <v>3</v>
      </c>
      <c r="S318" s="413" t="s">
        <v>878</v>
      </c>
    </row>
    <row r="319" spans="1:19" ht="26">
      <c r="A319" s="459" t="s">
        <v>730</v>
      </c>
      <c r="B319" s="422" t="s">
        <v>1608</v>
      </c>
      <c r="C319" s="422" t="s">
        <v>1608</v>
      </c>
      <c r="D319" s="437" t="s">
        <v>1586</v>
      </c>
      <c r="E319" s="437" t="s">
        <v>1587</v>
      </c>
      <c r="F319" s="437">
        <v>31</v>
      </c>
      <c r="G319" s="437">
        <v>20</v>
      </c>
      <c r="I319" s="423" t="s">
        <v>1588</v>
      </c>
      <c r="J319" s="423" t="s">
        <v>924</v>
      </c>
      <c r="K319" s="461" t="s">
        <v>1589</v>
      </c>
      <c r="L319" s="462"/>
      <c r="M319" s="463">
        <v>360000</v>
      </c>
      <c r="N319" s="425">
        <f>M319*НДС!$A$1</f>
        <v>417600</v>
      </c>
      <c r="O319" s="443" t="s">
        <v>70</v>
      </c>
      <c r="Q319" s="429" t="s">
        <v>65</v>
      </c>
      <c r="R319" s="423">
        <f>IF(Таблица68[[#This Row],[Столбец2]]="A",1,IF(Таблица68[[#This Row],[Столбец2]]="B",2,IF(Таблица68[[#This Row],[Столбец2]]="C",3)))</f>
        <v>3</v>
      </c>
      <c r="S319" s="413" t="s">
        <v>878</v>
      </c>
    </row>
    <row r="320" spans="1:19" ht="26">
      <c r="A320" s="459" t="s">
        <v>731</v>
      </c>
      <c r="B320" s="422" t="s">
        <v>1609</v>
      </c>
      <c r="C320" s="422" t="s">
        <v>1609</v>
      </c>
      <c r="D320" s="437" t="s">
        <v>1586</v>
      </c>
      <c r="E320" s="437" t="s">
        <v>1587</v>
      </c>
      <c r="F320" s="437">
        <v>32</v>
      </c>
      <c r="G320" s="437">
        <v>20</v>
      </c>
      <c r="I320" s="423" t="s">
        <v>1588</v>
      </c>
      <c r="J320" s="423" t="s">
        <v>924</v>
      </c>
      <c r="K320" s="461" t="s">
        <v>1589</v>
      </c>
      <c r="L320" s="462"/>
      <c r="M320" s="463">
        <v>360000</v>
      </c>
      <c r="N320" s="425">
        <f>M320*НДС!$A$1</f>
        <v>417600</v>
      </c>
      <c r="O320" s="443" t="s">
        <v>70</v>
      </c>
      <c r="Q320" s="429" t="s">
        <v>65</v>
      </c>
      <c r="R320" s="423">
        <f>IF(Таблица68[[#This Row],[Столбец2]]="A",1,IF(Таблица68[[#This Row],[Столбец2]]="B",2,IF(Таблица68[[#This Row],[Столбец2]]="C",3)))</f>
        <v>3</v>
      </c>
      <c r="S320" s="413" t="s">
        <v>878</v>
      </c>
    </row>
    <row r="321" spans="1:19" ht="26">
      <c r="A321" s="459" t="s">
        <v>732</v>
      </c>
      <c r="B321" s="422" t="s">
        <v>1610</v>
      </c>
      <c r="C321" s="422" t="s">
        <v>1610</v>
      </c>
      <c r="D321" s="437" t="s">
        <v>1586</v>
      </c>
      <c r="E321" s="437" t="s">
        <v>1587</v>
      </c>
      <c r="F321" s="437">
        <v>33</v>
      </c>
      <c r="G321" s="437">
        <v>20</v>
      </c>
      <c r="I321" s="423" t="s">
        <v>1588</v>
      </c>
      <c r="J321" s="423" t="s">
        <v>924</v>
      </c>
      <c r="K321" s="461" t="s">
        <v>1589</v>
      </c>
      <c r="L321" s="462"/>
      <c r="M321" s="463">
        <v>360000</v>
      </c>
      <c r="N321" s="425">
        <f>M321*НДС!$A$1</f>
        <v>417600</v>
      </c>
      <c r="O321" s="443" t="s">
        <v>70</v>
      </c>
      <c r="Q321" s="429" t="s">
        <v>65</v>
      </c>
      <c r="R321" s="423">
        <f>IF(Таблица68[[#This Row],[Столбец2]]="A",1,IF(Таблица68[[#This Row],[Столбец2]]="B",2,IF(Таблица68[[#This Row],[Столбец2]]="C",3)))</f>
        <v>3</v>
      </c>
      <c r="S321" s="413" t="s">
        <v>878</v>
      </c>
    </row>
    <row r="322" spans="1:19" ht="26">
      <c r="A322" s="459" t="s">
        <v>733</v>
      </c>
      <c r="B322" s="422" t="s">
        <v>1611</v>
      </c>
      <c r="C322" s="422" t="s">
        <v>1611</v>
      </c>
      <c r="D322" s="437" t="s">
        <v>1586</v>
      </c>
      <c r="E322" s="437" t="s">
        <v>1587</v>
      </c>
      <c r="F322" s="437">
        <v>34</v>
      </c>
      <c r="G322" s="437">
        <v>20</v>
      </c>
      <c r="I322" s="423" t="s">
        <v>1588</v>
      </c>
      <c r="J322" s="423" t="s">
        <v>924</v>
      </c>
      <c r="K322" s="461" t="s">
        <v>1589</v>
      </c>
      <c r="L322" s="462"/>
      <c r="M322" s="463">
        <v>360000</v>
      </c>
      <c r="N322" s="425">
        <f>M322*НДС!$A$1</f>
        <v>417600</v>
      </c>
      <c r="O322" s="443" t="s">
        <v>70</v>
      </c>
      <c r="Q322" s="429" t="s">
        <v>65</v>
      </c>
      <c r="R322" s="423">
        <f>IF(Таблица68[[#This Row],[Столбец2]]="A",1,IF(Таблица68[[#This Row],[Столбец2]]="B",2,IF(Таблица68[[#This Row],[Столбец2]]="C",3)))</f>
        <v>3</v>
      </c>
      <c r="S322" s="413" t="s">
        <v>878</v>
      </c>
    </row>
    <row r="323" spans="1:19" ht="26">
      <c r="A323" s="459" t="s">
        <v>734</v>
      </c>
      <c r="B323" s="422" t="s">
        <v>1612</v>
      </c>
      <c r="C323" s="422" t="s">
        <v>1612</v>
      </c>
      <c r="D323" s="437" t="s">
        <v>1586</v>
      </c>
      <c r="E323" s="437" t="s">
        <v>1587</v>
      </c>
      <c r="F323" s="437">
        <v>35</v>
      </c>
      <c r="G323" s="437">
        <v>20</v>
      </c>
      <c r="I323" s="423" t="s">
        <v>1588</v>
      </c>
      <c r="J323" s="423" t="s">
        <v>924</v>
      </c>
      <c r="K323" s="461" t="s">
        <v>1589</v>
      </c>
      <c r="L323" s="462"/>
      <c r="M323" s="463">
        <v>360000</v>
      </c>
      <c r="N323" s="425">
        <f>M323*НДС!$A$1</f>
        <v>417600</v>
      </c>
      <c r="O323" s="443" t="s">
        <v>70</v>
      </c>
      <c r="Q323" s="429" t="s">
        <v>65</v>
      </c>
      <c r="R323" s="423">
        <f>IF(Таблица68[[#This Row],[Столбец2]]="A",1,IF(Таблица68[[#This Row],[Столбец2]]="B",2,IF(Таблица68[[#This Row],[Столбец2]]="C",3)))</f>
        <v>3</v>
      </c>
      <c r="S323" s="413" t="s">
        <v>878</v>
      </c>
    </row>
    <row r="324" spans="1:19" ht="26">
      <c r="A324" s="459" t="s">
        <v>735</v>
      </c>
      <c r="B324" s="422" t="s">
        <v>1613</v>
      </c>
      <c r="C324" s="422" t="s">
        <v>1613</v>
      </c>
      <c r="D324" s="437" t="s">
        <v>1586</v>
      </c>
      <c r="E324" s="437" t="s">
        <v>1587</v>
      </c>
      <c r="F324" s="437">
        <v>36</v>
      </c>
      <c r="G324" s="437">
        <v>20</v>
      </c>
      <c r="I324" s="423" t="s">
        <v>1588</v>
      </c>
      <c r="J324" s="423" t="s">
        <v>924</v>
      </c>
      <c r="K324" s="461" t="s">
        <v>1589</v>
      </c>
      <c r="L324" s="462"/>
      <c r="M324" s="463">
        <v>360000</v>
      </c>
      <c r="N324" s="425">
        <f>M324*НДС!$A$1</f>
        <v>417600</v>
      </c>
      <c r="O324" s="443" t="s">
        <v>70</v>
      </c>
      <c r="Q324" s="429" t="s">
        <v>65</v>
      </c>
      <c r="R324" s="423">
        <f>IF(Таблица68[[#This Row],[Столбец2]]="A",1,IF(Таблица68[[#This Row],[Столбец2]]="B",2,IF(Таблица68[[#This Row],[Столбец2]]="C",3)))</f>
        <v>3</v>
      </c>
      <c r="S324" s="413" t="s">
        <v>878</v>
      </c>
    </row>
    <row r="325" spans="1:19" ht="26">
      <c r="A325" s="459" t="s">
        <v>736</v>
      </c>
      <c r="B325" s="422" t="s">
        <v>1614</v>
      </c>
      <c r="C325" s="422" t="s">
        <v>1614</v>
      </c>
      <c r="D325" s="437" t="s">
        <v>1586</v>
      </c>
      <c r="E325" s="437" t="s">
        <v>1587</v>
      </c>
      <c r="F325" s="437">
        <v>37</v>
      </c>
      <c r="G325" s="437">
        <v>20</v>
      </c>
      <c r="I325" s="423" t="s">
        <v>1588</v>
      </c>
      <c r="J325" s="423" t="s">
        <v>924</v>
      </c>
      <c r="K325" s="461" t="s">
        <v>1589</v>
      </c>
      <c r="L325" s="462"/>
      <c r="M325" s="463">
        <v>360000</v>
      </c>
      <c r="N325" s="425">
        <f>M325*НДС!$A$1</f>
        <v>417600</v>
      </c>
      <c r="O325" s="443" t="s">
        <v>70</v>
      </c>
      <c r="Q325" s="429" t="s">
        <v>65</v>
      </c>
      <c r="R325" s="423">
        <f>IF(Таблица68[[#This Row],[Столбец2]]="A",1,IF(Таблица68[[#This Row],[Столбец2]]="B",2,IF(Таблица68[[#This Row],[Столбец2]]="C",3)))</f>
        <v>3</v>
      </c>
      <c r="S325" s="413" t="s">
        <v>878</v>
      </c>
    </row>
    <row r="326" spans="1:19" ht="26">
      <c r="A326" s="459" t="s">
        <v>737</v>
      </c>
      <c r="B326" s="422" t="s">
        <v>1615</v>
      </c>
      <c r="C326" s="422" t="s">
        <v>1615</v>
      </c>
      <c r="D326" s="437" t="s">
        <v>1586</v>
      </c>
      <c r="E326" s="437" t="s">
        <v>1587</v>
      </c>
      <c r="F326" s="437">
        <v>38</v>
      </c>
      <c r="G326" s="437">
        <v>20</v>
      </c>
      <c r="I326" s="423" t="s">
        <v>1588</v>
      </c>
      <c r="J326" s="423" t="s">
        <v>924</v>
      </c>
      <c r="K326" s="461" t="s">
        <v>1589</v>
      </c>
      <c r="L326" s="462"/>
      <c r="M326" s="463">
        <v>360000</v>
      </c>
      <c r="N326" s="425">
        <f>M326*НДС!$A$1</f>
        <v>417600</v>
      </c>
      <c r="O326" s="443" t="s">
        <v>70</v>
      </c>
      <c r="Q326" s="429" t="s">
        <v>65</v>
      </c>
      <c r="R326" s="423">
        <f>IF(Таблица68[[#This Row],[Столбец2]]="A",1,IF(Таблица68[[#This Row],[Столбец2]]="B",2,IF(Таблица68[[#This Row],[Столбец2]]="C",3)))</f>
        <v>3</v>
      </c>
      <c r="S326" s="413" t="s">
        <v>878</v>
      </c>
    </row>
    <row r="327" spans="1:19" ht="26">
      <c r="A327" s="459" t="s">
        <v>738</v>
      </c>
      <c r="B327" s="422" t="s">
        <v>1616</v>
      </c>
      <c r="C327" s="422" t="s">
        <v>1616</v>
      </c>
      <c r="D327" s="437" t="s">
        <v>1586</v>
      </c>
      <c r="E327" s="437" t="s">
        <v>1587</v>
      </c>
      <c r="F327" s="437">
        <v>39</v>
      </c>
      <c r="G327" s="437">
        <v>20</v>
      </c>
      <c r="I327" s="423" t="s">
        <v>1588</v>
      </c>
      <c r="J327" s="423" t="s">
        <v>924</v>
      </c>
      <c r="K327" s="461" t="s">
        <v>1589</v>
      </c>
      <c r="L327" s="462"/>
      <c r="M327" s="463">
        <v>360000</v>
      </c>
      <c r="N327" s="425">
        <f>M327*НДС!$A$1</f>
        <v>417600</v>
      </c>
      <c r="O327" s="443" t="s">
        <v>70</v>
      </c>
      <c r="Q327" s="429" t="s">
        <v>65</v>
      </c>
      <c r="R327" s="423">
        <f>IF(Таблица68[[#This Row],[Столбец2]]="A",1,IF(Таблица68[[#This Row],[Столбец2]]="B",2,IF(Таблица68[[#This Row],[Столбец2]]="C",3)))</f>
        <v>3</v>
      </c>
      <c r="S327" s="413" t="s">
        <v>878</v>
      </c>
    </row>
    <row r="328" spans="1:19" ht="26">
      <c r="A328" s="459" t="s">
        <v>739</v>
      </c>
      <c r="B328" s="422" t="s">
        <v>1617</v>
      </c>
      <c r="C328" s="422" t="s">
        <v>1617</v>
      </c>
      <c r="D328" s="437" t="s">
        <v>1586</v>
      </c>
      <c r="E328" s="437" t="s">
        <v>1587</v>
      </c>
      <c r="F328" s="437">
        <v>40</v>
      </c>
      <c r="G328" s="437">
        <v>20</v>
      </c>
      <c r="I328" s="423" t="s">
        <v>1588</v>
      </c>
      <c r="J328" s="423" t="s">
        <v>924</v>
      </c>
      <c r="K328" s="461" t="s">
        <v>1589</v>
      </c>
      <c r="L328" s="462"/>
      <c r="M328" s="463">
        <v>360000</v>
      </c>
      <c r="N328" s="425">
        <f>M328*НДС!$A$1</f>
        <v>417600</v>
      </c>
      <c r="O328" s="443" t="s">
        <v>70</v>
      </c>
      <c r="Q328" s="429" t="s">
        <v>65</v>
      </c>
      <c r="R328" s="423">
        <f>IF(Таблица68[[#This Row],[Столбец2]]="A",1,IF(Таблица68[[#This Row],[Столбец2]]="B",2,IF(Таблица68[[#This Row],[Столбец2]]="C",3)))</f>
        <v>3</v>
      </c>
      <c r="S328" s="413" t="s">
        <v>878</v>
      </c>
    </row>
    <row r="329" spans="1:19" ht="26">
      <c r="A329" s="459" t="s">
        <v>740</v>
      </c>
      <c r="B329" s="422" t="s">
        <v>1618</v>
      </c>
      <c r="C329" s="422" t="s">
        <v>1618</v>
      </c>
      <c r="D329" s="437" t="s">
        <v>1586</v>
      </c>
      <c r="E329" s="437" t="s">
        <v>1619</v>
      </c>
      <c r="F329" s="437">
        <v>12</v>
      </c>
      <c r="G329" s="437">
        <v>25</v>
      </c>
      <c r="I329" s="423" t="s">
        <v>1588</v>
      </c>
      <c r="J329" s="423" t="s">
        <v>924</v>
      </c>
      <c r="K329" s="461" t="s">
        <v>1589</v>
      </c>
      <c r="L329" s="462"/>
      <c r="M329" s="465">
        <v>396000</v>
      </c>
      <c r="N329" s="425">
        <f>M329*НДС!$A$1</f>
        <v>459359.99999999994</v>
      </c>
      <c r="O329" s="443" t="s">
        <v>70</v>
      </c>
      <c r="Q329" s="429" t="s">
        <v>65</v>
      </c>
      <c r="R329" s="423">
        <f>IF(Таблица68[[#This Row],[Столбец2]]="A",1,IF(Таблица68[[#This Row],[Столбец2]]="B",2,IF(Таблица68[[#This Row],[Столбец2]]="C",3)))</f>
        <v>3</v>
      </c>
      <c r="S329" s="413" t="s">
        <v>878</v>
      </c>
    </row>
    <row r="330" spans="1:19" ht="26">
      <c r="A330" s="459" t="s">
        <v>741</v>
      </c>
      <c r="B330" s="422" t="s">
        <v>1620</v>
      </c>
      <c r="C330" s="422" t="s">
        <v>1620</v>
      </c>
      <c r="D330" s="437" t="s">
        <v>1586</v>
      </c>
      <c r="E330" s="437" t="s">
        <v>1619</v>
      </c>
      <c r="F330" s="437">
        <v>13</v>
      </c>
      <c r="G330" s="437">
        <v>25</v>
      </c>
      <c r="I330" s="423" t="s">
        <v>1588</v>
      </c>
      <c r="J330" s="423" t="s">
        <v>924</v>
      </c>
      <c r="K330" s="461" t="s">
        <v>1589</v>
      </c>
      <c r="L330" s="462"/>
      <c r="M330" s="465">
        <v>396000</v>
      </c>
      <c r="N330" s="425">
        <f>M330*НДС!$A$1</f>
        <v>459359.99999999994</v>
      </c>
      <c r="O330" s="443" t="s">
        <v>70</v>
      </c>
      <c r="Q330" s="429" t="s">
        <v>65</v>
      </c>
      <c r="R330" s="423">
        <f>IF(Таблица68[[#This Row],[Столбец2]]="A",1,IF(Таблица68[[#This Row],[Столбец2]]="B",2,IF(Таблица68[[#This Row],[Столбец2]]="C",3)))</f>
        <v>3</v>
      </c>
      <c r="S330" s="413" t="s">
        <v>878</v>
      </c>
    </row>
    <row r="331" spans="1:19" ht="26">
      <c r="A331" s="459" t="s">
        <v>742</v>
      </c>
      <c r="B331" s="422" t="s">
        <v>1621</v>
      </c>
      <c r="C331" s="422" t="s">
        <v>1621</v>
      </c>
      <c r="D331" s="437" t="s">
        <v>1586</v>
      </c>
      <c r="E331" s="437" t="s">
        <v>1619</v>
      </c>
      <c r="F331" s="437">
        <v>14</v>
      </c>
      <c r="G331" s="437">
        <v>25</v>
      </c>
      <c r="I331" s="423" t="s">
        <v>1588</v>
      </c>
      <c r="J331" s="423" t="s">
        <v>924</v>
      </c>
      <c r="K331" s="461" t="s">
        <v>1589</v>
      </c>
      <c r="L331" s="462"/>
      <c r="M331" s="465">
        <v>396000</v>
      </c>
      <c r="N331" s="425">
        <f>M331*НДС!$A$1</f>
        <v>459359.99999999994</v>
      </c>
      <c r="O331" s="443" t="s">
        <v>70</v>
      </c>
      <c r="Q331" s="429" t="s">
        <v>65</v>
      </c>
      <c r="R331" s="423">
        <f>IF(Таблица68[[#This Row],[Столбец2]]="A",1,IF(Таблица68[[#This Row],[Столбец2]]="B",2,IF(Таблица68[[#This Row],[Столбец2]]="C",3)))</f>
        <v>3</v>
      </c>
      <c r="S331" s="413" t="s">
        <v>878</v>
      </c>
    </row>
    <row r="332" spans="1:19" ht="26">
      <c r="A332" s="459" t="s">
        <v>743</v>
      </c>
      <c r="B332" s="422" t="s">
        <v>1622</v>
      </c>
      <c r="C332" s="422" t="s">
        <v>1622</v>
      </c>
      <c r="D332" s="437" t="s">
        <v>1586</v>
      </c>
      <c r="E332" s="437" t="s">
        <v>1619</v>
      </c>
      <c r="F332" s="437">
        <v>15</v>
      </c>
      <c r="G332" s="437">
        <v>25</v>
      </c>
      <c r="I332" s="423" t="s">
        <v>1588</v>
      </c>
      <c r="J332" s="423" t="s">
        <v>924</v>
      </c>
      <c r="K332" s="461" t="s">
        <v>1589</v>
      </c>
      <c r="L332" s="462"/>
      <c r="M332" s="465">
        <v>396000</v>
      </c>
      <c r="N332" s="425">
        <f>M332*НДС!$A$1</f>
        <v>459359.99999999994</v>
      </c>
      <c r="O332" s="443" t="s">
        <v>70</v>
      </c>
      <c r="Q332" s="429" t="s">
        <v>65</v>
      </c>
      <c r="R332" s="423">
        <f>IF(Таблица68[[#This Row],[Столбец2]]="A",1,IF(Таблица68[[#This Row],[Столбец2]]="B",2,IF(Таблица68[[#This Row],[Столбец2]]="C",3)))</f>
        <v>3</v>
      </c>
      <c r="S332" s="413" t="s">
        <v>878</v>
      </c>
    </row>
    <row r="333" spans="1:19" ht="26">
      <c r="A333" s="459" t="s">
        <v>744</v>
      </c>
      <c r="B333" s="422" t="s">
        <v>1623</v>
      </c>
      <c r="C333" s="422" t="s">
        <v>1623</v>
      </c>
      <c r="D333" s="437" t="s">
        <v>1586</v>
      </c>
      <c r="E333" s="437" t="s">
        <v>1619</v>
      </c>
      <c r="F333" s="437">
        <v>16</v>
      </c>
      <c r="G333" s="437">
        <v>25</v>
      </c>
      <c r="I333" s="423" t="s">
        <v>1588</v>
      </c>
      <c r="J333" s="423" t="s">
        <v>924</v>
      </c>
      <c r="K333" s="461" t="s">
        <v>1589</v>
      </c>
      <c r="L333" s="462"/>
      <c r="M333" s="465">
        <v>396000</v>
      </c>
      <c r="N333" s="425">
        <f>M333*НДС!$A$1</f>
        <v>459359.99999999994</v>
      </c>
      <c r="O333" s="443" t="s">
        <v>70</v>
      </c>
      <c r="Q333" s="450" t="s">
        <v>61</v>
      </c>
      <c r="R333" s="423">
        <f>IF(Таблица68[[#This Row],[Столбец2]]="A",1,IF(Таблица68[[#This Row],[Столбец2]]="B",2,IF(Таблица68[[#This Row],[Столбец2]]="C",3)))</f>
        <v>2</v>
      </c>
      <c r="S333" s="413" t="s">
        <v>882</v>
      </c>
    </row>
    <row r="334" spans="1:19" ht="26">
      <c r="A334" s="459" t="s">
        <v>745</v>
      </c>
      <c r="B334" s="422" t="s">
        <v>1624</v>
      </c>
      <c r="C334" s="422" t="s">
        <v>1624</v>
      </c>
      <c r="D334" s="437" t="s">
        <v>1586</v>
      </c>
      <c r="E334" s="437" t="s">
        <v>1619</v>
      </c>
      <c r="F334" s="437">
        <v>17</v>
      </c>
      <c r="G334" s="437">
        <v>25</v>
      </c>
      <c r="I334" s="423" t="s">
        <v>1588</v>
      </c>
      <c r="J334" s="423" t="s">
        <v>924</v>
      </c>
      <c r="K334" s="461" t="s">
        <v>1589</v>
      </c>
      <c r="L334" s="462"/>
      <c r="M334" s="465">
        <v>396000</v>
      </c>
      <c r="N334" s="425">
        <f>M334*НДС!$A$1</f>
        <v>459359.99999999994</v>
      </c>
      <c r="O334" s="443" t="s">
        <v>70</v>
      </c>
      <c r="Q334" s="429" t="s">
        <v>65</v>
      </c>
      <c r="R334" s="423">
        <f>IF(Таблица68[[#This Row],[Столбец2]]="A",1,IF(Таблица68[[#This Row],[Столбец2]]="B",2,IF(Таблица68[[#This Row],[Столбец2]]="C",3)))</f>
        <v>3</v>
      </c>
      <c r="S334" s="413" t="s">
        <v>878</v>
      </c>
    </row>
    <row r="335" spans="1:19" ht="26">
      <c r="A335" s="459" t="s">
        <v>746</v>
      </c>
      <c r="B335" s="422" t="s">
        <v>1625</v>
      </c>
      <c r="C335" s="422" t="s">
        <v>1625</v>
      </c>
      <c r="D335" s="437" t="s">
        <v>1586</v>
      </c>
      <c r="E335" s="437" t="s">
        <v>1619</v>
      </c>
      <c r="F335" s="437">
        <v>18</v>
      </c>
      <c r="G335" s="437">
        <v>25</v>
      </c>
      <c r="I335" s="423" t="s">
        <v>1588</v>
      </c>
      <c r="J335" s="423" t="s">
        <v>924</v>
      </c>
      <c r="K335" s="461" t="s">
        <v>1589</v>
      </c>
      <c r="L335" s="462"/>
      <c r="M335" s="465">
        <v>396000</v>
      </c>
      <c r="N335" s="425">
        <f>M335*НДС!$A$1</f>
        <v>459359.99999999994</v>
      </c>
      <c r="O335" s="443" t="s">
        <v>70</v>
      </c>
      <c r="Q335" s="450" t="s">
        <v>61</v>
      </c>
      <c r="R335" s="423">
        <f>IF(Таблица68[[#This Row],[Столбец2]]="A",1,IF(Таблица68[[#This Row],[Столбец2]]="B",2,IF(Таблица68[[#This Row],[Столбец2]]="C",3)))</f>
        <v>2</v>
      </c>
      <c r="S335" s="413" t="s">
        <v>882</v>
      </c>
    </row>
    <row r="336" spans="1:19" ht="26">
      <c r="A336" s="459" t="s">
        <v>747</v>
      </c>
      <c r="B336" s="422" t="s">
        <v>1626</v>
      </c>
      <c r="C336" s="422" t="s">
        <v>1626</v>
      </c>
      <c r="D336" s="437" t="s">
        <v>1586</v>
      </c>
      <c r="E336" s="437" t="s">
        <v>1619</v>
      </c>
      <c r="F336" s="437">
        <v>19</v>
      </c>
      <c r="G336" s="437">
        <v>25</v>
      </c>
      <c r="I336" s="423" t="s">
        <v>1588</v>
      </c>
      <c r="J336" s="423" t="s">
        <v>924</v>
      </c>
      <c r="K336" s="461" t="s">
        <v>1589</v>
      </c>
      <c r="L336" s="462"/>
      <c r="M336" s="465">
        <v>396000</v>
      </c>
      <c r="N336" s="425">
        <f>M336*НДС!$A$1</f>
        <v>459359.99999999994</v>
      </c>
      <c r="O336" s="443" t="s">
        <v>70</v>
      </c>
      <c r="Q336" s="429" t="s">
        <v>65</v>
      </c>
      <c r="R336" s="423">
        <f>IF(Таблица68[[#This Row],[Столбец2]]="A",1,IF(Таблица68[[#This Row],[Столбец2]]="B",2,IF(Таблица68[[#This Row],[Столбец2]]="C",3)))</f>
        <v>3</v>
      </c>
      <c r="S336" s="413" t="s">
        <v>878</v>
      </c>
    </row>
    <row r="337" spans="1:19" ht="26">
      <c r="A337" s="459" t="s">
        <v>748</v>
      </c>
      <c r="B337" s="422" t="s">
        <v>1627</v>
      </c>
      <c r="C337" s="422" t="s">
        <v>1627</v>
      </c>
      <c r="D337" s="437" t="s">
        <v>1586</v>
      </c>
      <c r="E337" s="437" t="s">
        <v>1619</v>
      </c>
      <c r="F337" s="437">
        <v>20</v>
      </c>
      <c r="G337" s="437">
        <v>25</v>
      </c>
      <c r="I337" s="423" t="s">
        <v>1588</v>
      </c>
      <c r="J337" s="423" t="s">
        <v>924</v>
      </c>
      <c r="K337" s="461" t="s">
        <v>1589</v>
      </c>
      <c r="L337" s="462"/>
      <c r="M337" s="465">
        <v>396000</v>
      </c>
      <c r="N337" s="425">
        <f>M337*НДС!$A$1</f>
        <v>459359.99999999994</v>
      </c>
      <c r="O337" s="443" t="s">
        <v>70</v>
      </c>
      <c r="Q337" s="429" t="s">
        <v>65</v>
      </c>
      <c r="R337" s="423">
        <f>IF(Таблица68[[#This Row],[Столбец2]]="A",1,IF(Таблица68[[#This Row],[Столбец2]]="B",2,IF(Таблица68[[#This Row],[Столбец2]]="C",3)))</f>
        <v>3</v>
      </c>
      <c r="S337" s="413" t="s">
        <v>878</v>
      </c>
    </row>
    <row r="338" spans="1:19" ht="26">
      <c r="A338" s="459" t="s">
        <v>749</v>
      </c>
      <c r="B338" s="422" t="s">
        <v>1628</v>
      </c>
      <c r="C338" s="422" t="s">
        <v>1628</v>
      </c>
      <c r="D338" s="437" t="s">
        <v>1586</v>
      </c>
      <c r="E338" s="437" t="s">
        <v>1619</v>
      </c>
      <c r="F338" s="437">
        <v>21</v>
      </c>
      <c r="G338" s="437">
        <v>25</v>
      </c>
      <c r="I338" s="423" t="s">
        <v>1588</v>
      </c>
      <c r="J338" s="423" t="s">
        <v>924</v>
      </c>
      <c r="K338" s="461" t="s">
        <v>1589</v>
      </c>
      <c r="L338" s="462"/>
      <c r="M338" s="465">
        <v>396000</v>
      </c>
      <c r="N338" s="425">
        <f>M338*НДС!$A$1</f>
        <v>459359.99999999994</v>
      </c>
      <c r="O338" s="443" t="s">
        <v>70</v>
      </c>
      <c r="Q338" s="429" t="s">
        <v>65</v>
      </c>
      <c r="R338" s="423">
        <f>IF(Таблица68[[#This Row],[Столбец2]]="A",1,IF(Таблица68[[#This Row],[Столбец2]]="B",2,IF(Таблица68[[#This Row],[Столбец2]]="C",3)))</f>
        <v>3</v>
      </c>
      <c r="S338" s="413" t="s">
        <v>878</v>
      </c>
    </row>
    <row r="339" spans="1:19" ht="26">
      <c r="A339" s="459" t="s">
        <v>750</v>
      </c>
      <c r="B339" s="422" t="s">
        <v>1629</v>
      </c>
      <c r="C339" s="422" t="s">
        <v>1629</v>
      </c>
      <c r="D339" s="437" t="s">
        <v>1586</v>
      </c>
      <c r="E339" s="437" t="s">
        <v>1619</v>
      </c>
      <c r="F339" s="437">
        <v>22</v>
      </c>
      <c r="G339" s="437">
        <v>25</v>
      </c>
      <c r="I339" s="423" t="s">
        <v>1588</v>
      </c>
      <c r="J339" s="423" t="s">
        <v>924</v>
      </c>
      <c r="K339" s="461" t="s">
        <v>1589</v>
      </c>
      <c r="L339" s="462"/>
      <c r="M339" s="465">
        <v>396000</v>
      </c>
      <c r="N339" s="425">
        <f>M339*НДС!$A$1</f>
        <v>459359.99999999994</v>
      </c>
      <c r="O339" s="443" t="s">
        <v>70</v>
      </c>
      <c r="Q339" s="429" t="s">
        <v>65</v>
      </c>
      <c r="R339" s="423">
        <f>IF(Таблица68[[#This Row],[Столбец2]]="A",1,IF(Таблица68[[#This Row],[Столбец2]]="B",2,IF(Таблица68[[#This Row],[Столбец2]]="C",3)))</f>
        <v>3</v>
      </c>
      <c r="S339" s="413" t="s">
        <v>878</v>
      </c>
    </row>
    <row r="340" spans="1:19" ht="26">
      <c r="A340" s="459" t="s">
        <v>751</v>
      </c>
      <c r="B340" s="422" t="s">
        <v>1630</v>
      </c>
      <c r="C340" s="422" t="s">
        <v>1630</v>
      </c>
      <c r="D340" s="437" t="s">
        <v>1586</v>
      </c>
      <c r="E340" s="437" t="s">
        <v>1619</v>
      </c>
      <c r="F340" s="437">
        <v>23</v>
      </c>
      <c r="G340" s="437">
        <v>25</v>
      </c>
      <c r="I340" s="423" t="s">
        <v>1588</v>
      </c>
      <c r="J340" s="423" t="s">
        <v>924</v>
      </c>
      <c r="K340" s="461" t="s">
        <v>1589</v>
      </c>
      <c r="L340" s="462"/>
      <c r="M340" s="465">
        <v>396000</v>
      </c>
      <c r="N340" s="425">
        <f>M340*НДС!$A$1</f>
        <v>459359.99999999994</v>
      </c>
      <c r="O340" s="443" t="s">
        <v>70</v>
      </c>
      <c r="Q340" s="429" t="s">
        <v>65</v>
      </c>
      <c r="R340" s="423">
        <f>IF(Таблица68[[#This Row],[Столбец2]]="A",1,IF(Таблица68[[#This Row],[Столбец2]]="B",2,IF(Таблица68[[#This Row],[Столбец2]]="C",3)))</f>
        <v>3</v>
      </c>
      <c r="S340" s="413" t="s">
        <v>878</v>
      </c>
    </row>
    <row r="341" spans="1:19" ht="26">
      <c r="A341" s="459" t="s">
        <v>752</v>
      </c>
      <c r="B341" s="422" t="s">
        <v>1631</v>
      </c>
      <c r="C341" s="422" t="s">
        <v>1631</v>
      </c>
      <c r="D341" s="437" t="s">
        <v>1586</v>
      </c>
      <c r="E341" s="437" t="s">
        <v>1619</v>
      </c>
      <c r="F341" s="437">
        <v>24</v>
      </c>
      <c r="G341" s="437">
        <v>25</v>
      </c>
      <c r="I341" s="423" t="s">
        <v>1588</v>
      </c>
      <c r="J341" s="423" t="s">
        <v>924</v>
      </c>
      <c r="K341" s="461" t="s">
        <v>1589</v>
      </c>
      <c r="L341" s="462"/>
      <c r="M341" s="465">
        <v>396000</v>
      </c>
      <c r="N341" s="425">
        <f>M341*НДС!$A$1</f>
        <v>459359.99999999994</v>
      </c>
      <c r="O341" s="443" t="s">
        <v>70</v>
      </c>
      <c r="Q341" s="429" t="s">
        <v>65</v>
      </c>
      <c r="R341" s="423">
        <f>IF(Таблица68[[#This Row],[Столбец2]]="A",1,IF(Таблица68[[#This Row],[Столбец2]]="B",2,IF(Таблица68[[#This Row],[Столбец2]]="C",3)))</f>
        <v>3</v>
      </c>
      <c r="S341" s="413" t="s">
        <v>878</v>
      </c>
    </row>
    <row r="342" spans="1:19" ht="26">
      <c r="A342" s="459" t="s">
        <v>753</v>
      </c>
      <c r="B342" s="422" t="s">
        <v>1632</v>
      </c>
      <c r="C342" s="422" t="s">
        <v>1632</v>
      </c>
      <c r="D342" s="437" t="s">
        <v>1586</v>
      </c>
      <c r="E342" s="437" t="s">
        <v>1619</v>
      </c>
      <c r="F342" s="437">
        <v>25</v>
      </c>
      <c r="G342" s="437">
        <v>25</v>
      </c>
      <c r="I342" s="423" t="s">
        <v>1588</v>
      </c>
      <c r="J342" s="423" t="s">
        <v>924</v>
      </c>
      <c r="K342" s="461" t="s">
        <v>1589</v>
      </c>
      <c r="L342" s="462"/>
      <c r="M342" s="465">
        <v>396000</v>
      </c>
      <c r="N342" s="425">
        <f>M342*НДС!$A$1</f>
        <v>459359.99999999994</v>
      </c>
      <c r="O342" s="443" t="s">
        <v>70</v>
      </c>
      <c r="Q342" s="429" t="s">
        <v>65</v>
      </c>
      <c r="R342" s="423">
        <f>IF(Таблица68[[#This Row],[Столбец2]]="A",1,IF(Таблица68[[#This Row],[Столбец2]]="B",2,IF(Таблица68[[#This Row],[Столбец2]]="C",3)))</f>
        <v>3</v>
      </c>
      <c r="S342" s="413" t="s">
        <v>878</v>
      </c>
    </row>
    <row r="343" spans="1:19" ht="26">
      <c r="A343" s="459" t="s">
        <v>754</v>
      </c>
      <c r="B343" s="422" t="s">
        <v>1633</v>
      </c>
      <c r="C343" s="422" t="s">
        <v>1633</v>
      </c>
      <c r="D343" s="437" t="s">
        <v>1586</v>
      </c>
      <c r="E343" s="437" t="s">
        <v>1619</v>
      </c>
      <c r="F343" s="437">
        <v>26</v>
      </c>
      <c r="G343" s="437">
        <v>25</v>
      </c>
      <c r="I343" s="423" t="s">
        <v>1588</v>
      </c>
      <c r="J343" s="423" t="s">
        <v>924</v>
      </c>
      <c r="K343" s="461" t="s">
        <v>1589</v>
      </c>
      <c r="L343" s="462"/>
      <c r="M343" s="465">
        <v>396000</v>
      </c>
      <c r="N343" s="425">
        <f>M343*НДС!$A$1</f>
        <v>459359.99999999994</v>
      </c>
      <c r="O343" s="443" t="s">
        <v>70</v>
      </c>
      <c r="Q343" s="429" t="s">
        <v>65</v>
      </c>
      <c r="R343" s="423">
        <f>IF(Таблица68[[#This Row],[Столбец2]]="A",1,IF(Таблица68[[#This Row],[Столбец2]]="B",2,IF(Таблица68[[#This Row],[Столбец2]]="C",3)))</f>
        <v>3</v>
      </c>
      <c r="S343" s="413" t="s">
        <v>878</v>
      </c>
    </row>
    <row r="344" spans="1:19" ht="26">
      <c r="A344" s="459" t="s">
        <v>755</v>
      </c>
      <c r="B344" s="422" t="s">
        <v>1634</v>
      </c>
      <c r="C344" s="422" t="s">
        <v>1634</v>
      </c>
      <c r="D344" s="437" t="s">
        <v>1586</v>
      </c>
      <c r="E344" s="437" t="s">
        <v>1619</v>
      </c>
      <c r="F344" s="437">
        <v>27</v>
      </c>
      <c r="G344" s="437">
        <v>25</v>
      </c>
      <c r="I344" s="423" t="s">
        <v>1588</v>
      </c>
      <c r="J344" s="423" t="s">
        <v>924</v>
      </c>
      <c r="K344" s="461" t="s">
        <v>1589</v>
      </c>
      <c r="L344" s="462"/>
      <c r="M344" s="465">
        <v>396000</v>
      </c>
      <c r="N344" s="425">
        <f>M344*НДС!$A$1</f>
        <v>459359.99999999994</v>
      </c>
      <c r="O344" s="443" t="s">
        <v>70</v>
      </c>
      <c r="Q344" s="429" t="s">
        <v>65</v>
      </c>
      <c r="R344" s="423">
        <f>IF(Таблица68[[#This Row],[Столбец2]]="A",1,IF(Таблица68[[#This Row],[Столбец2]]="B",2,IF(Таблица68[[#This Row],[Столбец2]]="C",3)))</f>
        <v>3</v>
      </c>
      <c r="S344" s="413" t="s">
        <v>878</v>
      </c>
    </row>
    <row r="345" spans="1:19" ht="26">
      <c r="A345" s="459" t="s">
        <v>756</v>
      </c>
      <c r="B345" s="422" t="s">
        <v>1635</v>
      </c>
      <c r="C345" s="422" t="s">
        <v>1635</v>
      </c>
      <c r="D345" s="437" t="s">
        <v>1586</v>
      </c>
      <c r="E345" s="437" t="s">
        <v>1619</v>
      </c>
      <c r="F345" s="437">
        <v>28</v>
      </c>
      <c r="G345" s="437">
        <v>25</v>
      </c>
      <c r="I345" s="423" t="s">
        <v>1588</v>
      </c>
      <c r="J345" s="423" t="s">
        <v>924</v>
      </c>
      <c r="K345" s="461" t="s">
        <v>1589</v>
      </c>
      <c r="L345" s="462"/>
      <c r="M345" s="465">
        <v>396000</v>
      </c>
      <c r="N345" s="425">
        <f>M345*НДС!$A$1</f>
        <v>459359.99999999994</v>
      </c>
      <c r="O345" s="443" t="s">
        <v>70</v>
      </c>
      <c r="Q345" s="429" t="s">
        <v>65</v>
      </c>
      <c r="R345" s="423">
        <f>IF(Таблица68[[#This Row],[Столбец2]]="A",1,IF(Таблица68[[#This Row],[Столбец2]]="B",2,IF(Таблица68[[#This Row],[Столбец2]]="C",3)))</f>
        <v>3</v>
      </c>
      <c r="S345" s="413" t="s">
        <v>878</v>
      </c>
    </row>
    <row r="346" spans="1:19" ht="26">
      <c r="A346" s="459" t="s">
        <v>757</v>
      </c>
      <c r="B346" s="422" t="s">
        <v>1636</v>
      </c>
      <c r="C346" s="422" t="s">
        <v>1636</v>
      </c>
      <c r="D346" s="437" t="s">
        <v>1586</v>
      </c>
      <c r="E346" s="437" t="s">
        <v>1619</v>
      </c>
      <c r="F346" s="437">
        <v>29</v>
      </c>
      <c r="G346" s="437">
        <v>25</v>
      </c>
      <c r="I346" s="423" t="s">
        <v>1588</v>
      </c>
      <c r="J346" s="423" t="s">
        <v>924</v>
      </c>
      <c r="K346" s="461" t="s">
        <v>1589</v>
      </c>
      <c r="L346" s="462"/>
      <c r="M346" s="465">
        <v>396000</v>
      </c>
      <c r="N346" s="425">
        <f>M346*НДС!$A$1</f>
        <v>459359.99999999994</v>
      </c>
      <c r="O346" s="443" t="s">
        <v>70</v>
      </c>
      <c r="Q346" s="429" t="s">
        <v>65</v>
      </c>
      <c r="R346" s="423">
        <f>IF(Таблица68[[#This Row],[Столбец2]]="A",1,IF(Таблица68[[#This Row],[Столбец2]]="B",2,IF(Таблица68[[#This Row],[Столбец2]]="C",3)))</f>
        <v>3</v>
      </c>
      <c r="S346" s="413" t="s">
        <v>878</v>
      </c>
    </row>
    <row r="347" spans="1:19" ht="26">
      <c r="A347" s="459" t="s">
        <v>758</v>
      </c>
      <c r="B347" s="422" t="s">
        <v>1637</v>
      </c>
      <c r="C347" s="422" t="s">
        <v>1637</v>
      </c>
      <c r="D347" s="437" t="s">
        <v>1586</v>
      </c>
      <c r="E347" s="437" t="s">
        <v>1619</v>
      </c>
      <c r="F347" s="437">
        <v>30</v>
      </c>
      <c r="G347" s="437">
        <v>25</v>
      </c>
      <c r="I347" s="423" t="s">
        <v>1588</v>
      </c>
      <c r="J347" s="423" t="s">
        <v>924</v>
      </c>
      <c r="K347" s="461" t="s">
        <v>1589</v>
      </c>
      <c r="L347" s="462"/>
      <c r="M347" s="465">
        <v>396000</v>
      </c>
      <c r="N347" s="425">
        <f>M347*НДС!$A$1</f>
        <v>459359.99999999994</v>
      </c>
      <c r="O347" s="443" t="s">
        <v>70</v>
      </c>
      <c r="Q347" s="429" t="s">
        <v>65</v>
      </c>
      <c r="R347" s="423">
        <f>IF(Таблица68[[#This Row],[Столбец2]]="A",1,IF(Таблица68[[#This Row],[Столбец2]]="B",2,IF(Таблица68[[#This Row],[Столбец2]]="C",3)))</f>
        <v>3</v>
      </c>
      <c r="S347" s="413" t="s">
        <v>878</v>
      </c>
    </row>
    <row r="348" spans="1:19" ht="26">
      <c r="A348" s="459" t="s">
        <v>759</v>
      </c>
      <c r="B348" s="422" t="s">
        <v>1638</v>
      </c>
      <c r="C348" s="422" t="s">
        <v>1638</v>
      </c>
      <c r="D348" s="437" t="s">
        <v>1586</v>
      </c>
      <c r="E348" s="437" t="s">
        <v>1619</v>
      </c>
      <c r="F348" s="437">
        <v>31</v>
      </c>
      <c r="G348" s="437">
        <v>25</v>
      </c>
      <c r="I348" s="423" t="s">
        <v>1588</v>
      </c>
      <c r="J348" s="423" t="s">
        <v>924</v>
      </c>
      <c r="K348" s="461" t="s">
        <v>1589</v>
      </c>
      <c r="L348" s="462"/>
      <c r="M348" s="465">
        <v>396000</v>
      </c>
      <c r="N348" s="425">
        <f>M348*НДС!$A$1</f>
        <v>459359.99999999994</v>
      </c>
      <c r="O348" s="443" t="s">
        <v>70</v>
      </c>
      <c r="Q348" s="429" t="s">
        <v>65</v>
      </c>
      <c r="R348" s="423">
        <f>IF(Таблица68[[#This Row],[Столбец2]]="A",1,IF(Таблица68[[#This Row],[Столбец2]]="B",2,IF(Таблица68[[#This Row],[Столбец2]]="C",3)))</f>
        <v>3</v>
      </c>
      <c r="S348" s="413" t="s">
        <v>878</v>
      </c>
    </row>
    <row r="349" spans="1:19" ht="26">
      <c r="A349" s="459" t="s">
        <v>760</v>
      </c>
      <c r="B349" s="422" t="s">
        <v>1639</v>
      </c>
      <c r="C349" s="422" t="s">
        <v>1639</v>
      </c>
      <c r="D349" s="437" t="s">
        <v>1586</v>
      </c>
      <c r="E349" s="437" t="s">
        <v>1619</v>
      </c>
      <c r="F349" s="437">
        <v>32</v>
      </c>
      <c r="G349" s="437">
        <v>25</v>
      </c>
      <c r="I349" s="423" t="s">
        <v>1588</v>
      </c>
      <c r="J349" s="423" t="s">
        <v>924</v>
      </c>
      <c r="K349" s="461" t="s">
        <v>1589</v>
      </c>
      <c r="L349" s="462"/>
      <c r="M349" s="465">
        <v>396000</v>
      </c>
      <c r="N349" s="425">
        <f>M349*НДС!$A$1</f>
        <v>459359.99999999994</v>
      </c>
      <c r="O349" s="443" t="s">
        <v>70</v>
      </c>
      <c r="Q349" s="429" t="s">
        <v>65</v>
      </c>
      <c r="R349" s="423">
        <f>IF(Таблица68[[#This Row],[Столбец2]]="A",1,IF(Таблица68[[#This Row],[Столбец2]]="B",2,IF(Таблица68[[#This Row],[Столбец2]]="C",3)))</f>
        <v>3</v>
      </c>
      <c r="S349" s="413" t="s">
        <v>878</v>
      </c>
    </row>
    <row r="350" spans="1:19" ht="26">
      <c r="A350" s="459" t="s">
        <v>761</v>
      </c>
      <c r="B350" s="422" t="s">
        <v>1640</v>
      </c>
      <c r="C350" s="422" t="s">
        <v>1640</v>
      </c>
      <c r="D350" s="437" t="s">
        <v>1586</v>
      </c>
      <c r="E350" s="437" t="s">
        <v>1619</v>
      </c>
      <c r="F350" s="437">
        <v>33</v>
      </c>
      <c r="G350" s="437">
        <v>25</v>
      </c>
      <c r="I350" s="423" t="s">
        <v>1588</v>
      </c>
      <c r="J350" s="423" t="s">
        <v>924</v>
      </c>
      <c r="K350" s="461" t="s">
        <v>1589</v>
      </c>
      <c r="L350" s="462"/>
      <c r="M350" s="465">
        <v>396000</v>
      </c>
      <c r="N350" s="425">
        <f>M350*НДС!$A$1</f>
        <v>459359.99999999994</v>
      </c>
      <c r="O350" s="443" t="s">
        <v>70</v>
      </c>
      <c r="Q350" s="429" t="s">
        <v>65</v>
      </c>
      <c r="R350" s="423">
        <f>IF(Таблица68[[#This Row],[Столбец2]]="A",1,IF(Таблица68[[#This Row],[Столбец2]]="B",2,IF(Таблица68[[#This Row],[Столбец2]]="C",3)))</f>
        <v>3</v>
      </c>
      <c r="S350" s="413" t="s">
        <v>878</v>
      </c>
    </row>
    <row r="351" spans="1:19" ht="26">
      <c r="A351" s="459" t="s">
        <v>762</v>
      </c>
      <c r="B351" s="422" t="s">
        <v>1641</v>
      </c>
      <c r="C351" s="422" t="s">
        <v>1641</v>
      </c>
      <c r="D351" s="437" t="s">
        <v>1586</v>
      </c>
      <c r="E351" s="437" t="s">
        <v>1619</v>
      </c>
      <c r="F351" s="437">
        <v>34</v>
      </c>
      <c r="G351" s="437">
        <v>25</v>
      </c>
      <c r="I351" s="423" t="s">
        <v>1588</v>
      </c>
      <c r="J351" s="423" t="s">
        <v>924</v>
      </c>
      <c r="K351" s="461" t="s">
        <v>1589</v>
      </c>
      <c r="L351" s="462"/>
      <c r="M351" s="465">
        <v>396000</v>
      </c>
      <c r="N351" s="425">
        <f>M351*НДС!$A$1</f>
        <v>459359.99999999994</v>
      </c>
      <c r="O351" s="443" t="s">
        <v>70</v>
      </c>
      <c r="Q351" s="429" t="s">
        <v>65</v>
      </c>
      <c r="R351" s="423">
        <f>IF(Таблица68[[#This Row],[Столбец2]]="A",1,IF(Таблица68[[#This Row],[Столбец2]]="B",2,IF(Таблица68[[#This Row],[Столбец2]]="C",3)))</f>
        <v>3</v>
      </c>
      <c r="S351" s="413" t="s">
        <v>878</v>
      </c>
    </row>
    <row r="352" spans="1:19" ht="26">
      <c r="A352" s="459" t="s">
        <v>763</v>
      </c>
      <c r="B352" s="422" t="s">
        <v>1642</v>
      </c>
      <c r="C352" s="422" t="s">
        <v>1642</v>
      </c>
      <c r="D352" s="437" t="s">
        <v>1586</v>
      </c>
      <c r="E352" s="437" t="s">
        <v>1619</v>
      </c>
      <c r="F352" s="437">
        <v>35</v>
      </c>
      <c r="G352" s="437">
        <v>25</v>
      </c>
      <c r="I352" s="423" t="s">
        <v>1588</v>
      </c>
      <c r="J352" s="423" t="s">
        <v>924</v>
      </c>
      <c r="K352" s="461" t="s">
        <v>1589</v>
      </c>
      <c r="L352" s="462"/>
      <c r="M352" s="465">
        <v>396000</v>
      </c>
      <c r="N352" s="425">
        <f>M352*НДС!$A$1</f>
        <v>459359.99999999994</v>
      </c>
      <c r="O352" s="443" t="s">
        <v>70</v>
      </c>
      <c r="Q352" s="429" t="s">
        <v>65</v>
      </c>
      <c r="R352" s="423">
        <f>IF(Таблица68[[#This Row],[Столбец2]]="A",1,IF(Таблица68[[#This Row],[Столбец2]]="B",2,IF(Таблица68[[#This Row],[Столбец2]]="C",3)))</f>
        <v>3</v>
      </c>
      <c r="S352" s="413" t="s">
        <v>878</v>
      </c>
    </row>
    <row r="353" spans="1:19" ht="26">
      <c r="A353" s="459" t="s">
        <v>764</v>
      </c>
      <c r="B353" s="422" t="s">
        <v>1643</v>
      </c>
      <c r="C353" s="422" t="s">
        <v>1643</v>
      </c>
      <c r="D353" s="437" t="s">
        <v>1586</v>
      </c>
      <c r="E353" s="437" t="s">
        <v>1619</v>
      </c>
      <c r="F353" s="437">
        <v>36</v>
      </c>
      <c r="G353" s="437">
        <v>25</v>
      </c>
      <c r="I353" s="423" t="s">
        <v>1588</v>
      </c>
      <c r="J353" s="423" t="s">
        <v>924</v>
      </c>
      <c r="K353" s="461" t="s">
        <v>1589</v>
      </c>
      <c r="L353" s="462"/>
      <c r="M353" s="465">
        <v>396000</v>
      </c>
      <c r="N353" s="425">
        <f>M353*НДС!$A$1</f>
        <v>459359.99999999994</v>
      </c>
      <c r="O353" s="443" t="s">
        <v>70</v>
      </c>
      <c r="Q353" s="429" t="s">
        <v>65</v>
      </c>
      <c r="R353" s="423">
        <f>IF(Таблица68[[#This Row],[Столбец2]]="A",1,IF(Таблица68[[#This Row],[Столбец2]]="B",2,IF(Таблица68[[#This Row],[Столбец2]]="C",3)))</f>
        <v>3</v>
      </c>
      <c r="S353" s="413" t="s">
        <v>878</v>
      </c>
    </row>
    <row r="354" spans="1:19" ht="26">
      <c r="A354" s="459" t="s">
        <v>765</v>
      </c>
      <c r="B354" s="422" t="s">
        <v>1644</v>
      </c>
      <c r="C354" s="422" t="s">
        <v>1644</v>
      </c>
      <c r="D354" s="437" t="s">
        <v>1586</v>
      </c>
      <c r="E354" s="437" t="s">
        <v>1619</v>
      </c>
      <c r="F354" s="437">
        <v>37</v>
      </c>
      <c r="G354" s="437">
        <v>25</v>
      </c>
      <c r="I354" s="423" t="s">
        <v>1588</v>
      </c>
      <c r="J354" s="423" t="s">
        <v>924</v>
      </c>
      <c r="K354" s="461" t="s">
        <v>1589</v>
      </c>
      <c r="L354" s="462"/>
      <c r="M354" s="465">
        <v>396000</v>
      </c>
      <c r="N354" s="425">
        <f>M354*НДС!$A$1</f>
        <v>459359.99999999994</v>
      </c>
      <c r="O354" s="443" t="s">
        <v>70</v>
      </c>
      <c r="Q354" s="429" t="s">
        <v>65</v>
      </c>
      <c r="R354" s="423">
        <f>IF(Таблица68[[#This Row],[Столбец2]]="A",1,IF(Таблица68[[#This Row],[Столбец2]]="B",2,IF(Таблица68[[#This Row],[Столбец2]]="C",3)))</f>
        <v>3</v>
      </c>
      <c r="S354" s="413" t="s">
        <v>878</v>
      </c>
    </row>
    <row r="355" spans="1:19" ht="26">
      <c r="A355" s="459" t="s">
        <v>766</v>
      </c>
      <c r="B355" s="422" t="s">
        <v>1645</v>
      </c>
      <c r="C355" s="422" t="s">
        <v>1645</v>
      </c>
      <c r="D355" s="437" t="s">
        <v>1586</v>
      </c>
      <c r="E355" s="437" t="s">
        <v>1619</v>
      </c>
      <c r="F355" s="437">
        <v>38</v>
      </c>
      <c r="G355" s="437">
        <v>25</v>
      </c>
      <c r="I355" s="423" t="s">
        <v>1588</v>
      </c>
      <c r="J355" s="423" t="s">
        <v>924</v>
      </c>
      <c r="K355" s="461" t="s">
        <v>1589</v>
      </c>
      <c r="L355" s="462"/>
      <c r="M355" s="465">
        <v>396000</v>
      </c>
      <c r="N355" s="425">
        <f>M355*НДС!$A$1</f>
        <v>459359.99999999994</v>
      </c>
      <c r="O355" s="443" t="s">
        <v>70</v>
      </c>
      <c r="Q355" s="429" t="s">
        <v>65</v>
      </c>
      <c r="R355" s="423">
        <f>IF(Таблица68[[#This Row],[Столбец2]]="A",1,IF(Таблица68[[#This Row],[Столбец2]]="B",2,IF(Таблица68[[#This Row],[Столбец2]]="C",3)))</f>
        <v>3</v>
      </c>
      <c r="S355" s="413" t="s">
        <v>878</v>
      </c>
    </row>
    <row r="356" spans="1:19" ht="26">
      <c r="A356" s="459" t="s">
        <v>767</v>
      </c>
      <c r="B356" s="422" t="s">
        <v>1646</v>
      </c>
      <c r="C356" s="422" t="s">
        <v>1646</v>
      </c>
      <c r="D356" s="437" t="s">
        <v>1586</v>
      </c>
      <c r="E356" s="437" t="s">
        <v>1619</v>
      </c>
      <c r="F356" s="437">
        <v>39</v>
      </c>
      <c r="G356" s="437">
        <v>25</v>
      </c>
      <c r="I356" s="423" t="s">
        <v>1588</v>
      </c>
      <c r="J356" s="423" t="s">
        <v>924</v>
      </c>
      <c r="K356" s="461" t="s">
        <v>1589</v>
      </c>
      <c r="L356" s="462"/>
      <c r="M356" s="465">
        <v>396000</v>
      </c>
      <c r="N356" s="425">
        <f>M356*НДС!$A$1</f>
        <v>459359.99999999994</v>
      </c>
      <c r="O356" s="443" t="s">
        <v>70</v>
      </c>
      <c r="Q356" s="429" t="s">
        <v>65</v>
      </c>
      <c r="R356" s="423">
        <f>IF(Таблица68[[#This Row],[Столбец2]]="A",1,IF(Таблица68[[#This Row],[Столбец2]]="B",2,IF(Таблица68[[#This Row],[Столбец2]]="C",3)))</f>
        <v>3</v>
      </c>
      <c r="S356" s="413" t="s">
        <v>878</v>
      </c>
    </row>
    <row r="357" spans="1:19" ht="26">
      <c r="A357" s="459" t="s">
        <v>768</v>
      </c>
      <c r="B357" s="422" t="s">
        <v>1647</v>
      </c>
      <c r="C357" s="422" t="s">
        <v>1647</v>
      </c>
      <c r="D357" s="437" t="s">
        <v>1586</v>
      </c>
      <c r="E357" s="437" t="s">
        <v>1619</v>
      </c>
      <c r="F357" s="437">
        <v>40</v>
      </c>
      <c r="G357" s="437">
        <v>25</v>
      </c>
      <c r="I357" s="423" t="s">
        <v>1588</v>
      </c>
      <c r="J357" s="423" t="s">
        <v>924</v>
      </c>
      <c r="K357" s="461" t="s">
        <v>1589</v>
      </c>
      <c r="L357" s="462"/>
      <c r="M357" s="465">
        <v>396000</v>
      </c>
      <c r="N357" s="425">
        <f>M357*НДС!$A$1</f>
        <v>459359.99999999994</v>
      </c>
      <c r="O357" s="443" t="s">
        <v>70</v>
      </c>
      <c r="Q357" s="429" t="s">
        <v>65</v>
      </c>
      <c r="R357" s="423">
        <f>IF(Таблица68[[#This Row],[Столбец2]]="A",1,IF(Таблица68[[#This Row],[Столбец2]]="B",2,IF(Таблица68[[#This Row],[Столбец2]]="C",3)))</f>
        <v>3</v>
      </c>
      <c r="S357" s="413" t="s">
        <v>878</v>
      </c>
    </row>
    <row r="358" spans="1:19" ht="26">
      <c r="A358" s="459" t="s">
        <v>772</v>
      </c>
      <c r="B358" s="422" t="s">
        <v>1648</v>
      </c>
      <c r="C358" s="422" t="s">
        <v>1648</v>
      </c>
      <c r="D358" s="437" t="s">
        <v>1649</v>
      </c>
      <c r="E358" s="437" t="s">
        <v>1650</v>
      </c>
      <c r="F358" s="437"/>
      <c r="G358" s="437">
        <v>25</v>
      </c>
      <c r="H358" s="406">
        <v>52</v>
      </c>
      <c r="I358" s="423" t="s">
        <v>923</v>
      </c>
      <c r="J358" s="423" t="s">
        <v>924</v>
      </c>
      <c r="K358" s="408" t="s">
        <v>1651</v>
      </c>
      <c r="L358" s="462"/>
      <c r="M358" s="465">
        <v>504000</v>
      </c>
      <c r="N358" s="425">
        <f>M358*НДС!$A$1</f>
        <v>584640</v>
      </c>
      <c r="O358" s="443" t="s">
        <v>70</v>
      </c>
      <c r="Q358" s="450" t="s">
        <v>61</v>
      </c>
      <c r="R358" s="423">
        <f>IF(Таблица68[[#This Row],[Столбец2]]="A",1,IF(Таблица68[[#This Row],[Столбец2]]="B",2,IF(Таблица68[[#This Row],[Столбец2]]="C",3)))</f>
        <v>2</v>
      </c>
      <c r="S358" s="413" t="s">
        <v>882</v>
      </c>
    </row>
    <row r="359" spans="1:19" ht="26">
      <c r="A359" s="459" t="s">
        <v>773</v>
      </c>
      <c r="B359" s="422" t="s">
        <v>1652</v>
      </c>
      <c r="C359" s="422" t="s">
        <v>1652</v>
      </c>
      <c r="D359" s="437" t="s">
        <v>1649</v>
      </c>
      <c r="E359" s="437" t="s">
        <v>1653</v>
      </c>
      <c r="F359" s="437"/>
      <c r="G359" s="437">
        <v>32</v>
      </c>
      <c r="H359" s="406">
        <v>52</v>
      </c>
      <c r="I359" s="423" t="s">
        <v>923</v>
      </c>
      <c r="J359" s="423" t="s">
        <v>924</v>
      </c>
      <c r="K359" s="408" t="s">
        <v>1651</v>
      </c>
      <c r="L359" s="462"/>
      <c r="M359" s="465">
        <v>516000</v>
      </c>
      <c r="N359" s="425">
        <f>M359*НДС!$A$1</f>
        <v>598560</v>
      </c>
      <c r="O359" s="443" t="s">
        <v>70</v>
      </c>
      <c r="Q359" s="454" t="s">
        <v>65</v>
      </c>
      <c r="R359" s="423">
        <f>IF(Таблица68[[#This Row],[Столбец2]]="A",1,IF(Таблица68[[#This Row],[Столбец2]]="B",2,IF(Таблица68[[#This Row],[Столбец2]]="C",3)))</f>
        <v>3</v>
      </c>
      <c r="S359" s="413" t="s">
        <v>878</v>
      </c>
    </row>
    <row r="360" spans="1:19" ht="26">
      <c r="A360" s="459" t="s">
        <v>774</v>
      </c>
      <c r="B360" s="422" t="s">
        <v>1654</v>
      </c>
      <c r="C360" s="422" t="s">
        <v>1654</v>
      </c>
      <c r="D360" s="437" t="s">
        <v>1649</v>
      </c>
      <c r="E360" s="437" t="s">
        <v>1655</v>
      </c>
      <c r="F360" s="437"/>
      <c r="G360" s="437">
        <v>32</v>
      </c>
      <c r="H360" s="406">
        <v>52</v>
      </c>
      <c r="I360" s="423" t="s">
        <v>923</v>
      </c>
      <c r="J360" s="423" t="s">
        <v>924</v>
      </c>
      <c r="K360" s="408" t="s">
        <v>1651</v>
      </c>
      <c r="L360" s="462"/>
      <c r="M360" s="465">
        <v>528000</v>
      </c>
      <c r="N360" s="425">
        <f>M360*НДС!$A$1</f>
        <v>612480</v>
      </c>
      <c r="O360" s="443" t="s">
        <v>70</v>
      </c>
      <c r="Q360" s="450" t="s">
        <v>61</v>
      </c>
      <c r="R360" s="423">
        <f>IF(Таблица68[[#This Row],[Столбец2]]="A",1,IF(Таблица68[[#This Row],[Столбец2]]="B",2,IF(Таблица68[[#This Row],[Столбец2]]="C",3)))</f>
        <v>2</v>
      </c>
      <c r="S360" s="413" t="s">
        <v>882</v>
      </c>
    </row>
    <row r="361" spans="1:19" ht="22.5" customHeight="1">
      <c r="A361" s="459" t="s">
        <v>662</v>
      </c>
      <c r="B361" s="422" t="s">
        <v>1656</v>
      </c>
      <c r="C361" s="422" t="s">
        <v>1656</v>
      </c>
      <c r="D361" s="437" t="s">
        <v>1428</v>
      </c>
      <c r="E361" s="437" t="s">
        <v>1657</v>
      </c>
      <c r="F361" s="437"/>
      <c r="G361" s="437">
        <v>25</v>
      </c>
      <c r="H361" s="406">
        <v>52</v>
      </c>
      <c r="I361" s="423" t="s">
        <v>1431</v>
      </c>
      <c r="J361" s="423" t="s">
        <v>1432</v>
      </c>
      <c r="K361" s="408" t="s">
        <v>925</v>
      </c>
      <c r="L361" s="462"/>
      <c r="M361" s="465">
        <v>351000</v>
      </c>
      <c r="N361" s="425">
        <f>M361*НДС!$A$1</f>
        <v>407160</v>
      </c>
      <c r="O361" s="443" t="s">
        <v>70</v>
      </c>
      <c r="Q361" s="429" t="s">
        <v>65</v>
      </c>
      <c r="R361" s="423">
        <f>IF(Таблица68[[#This Row],[Столбец2]]="A",1,IF(Таблица68[[#This Row],[Столбец2]]="B",2,IF(Таблица68[[#This Row],[Столбец2]]="C",3)))</f>
        <v>3</v>
      </c>
      <c r="S361" s="413" t="s">
        <v>878</v>
      </c>
    </row>
    <row r="362" spans="1:19" ht="21.75" customHeight="1">
      <c r="A362" s="459" t="s">
        <v>663</v>
      </c>
      <c r="B362" s="422" t="s">
        <v>1658</v>
      </c>
      <c r="C362" s="422" t="s">
        <v>1658</v>
      </c>
      <c r="D362" s="437" t="s">
        <v>1428</v>
      </c>
      <c r="E362" s="437" t="s">
        <v>1659</v>
      </c>
      <c r="F362" s="437"/>
      <c r="G362" s="437">
        <v>25</v>
      </c>
      <c r="H362" s="406">
        <v>52</v>
      </c>
      <c r="I362" s="423" t="s">
        <v>1431</v>
      </c>
      <c r="J362" s="423" t="s">
        <v>1432</v>
      </c>
      <c r="K362" s="408" t="s">
        <v>925</v>
      </c>
      <c r="L362" s="462"/>
      <c r="M362" s="465">
        <v>351000</v>
      </c>
      <c r="N362" s="425">
        <f>M362*НДС!$A$1</f>
        <v>407160</v>
      </c>
      <c r="O362" s="443" t="s">
        <v>70</v>
      </c>
      <c r="Q362" s="429" t="s">
        <v>65</v>
      </c>
      <c r="R362" s="423">
        <f>IF(Таблица68[[#This Row],[Столбец2]]="A",1,IF(Таблица68[[#This Row],[Столбец2]]="B",2,IF(Таблица68[[#This Row],[Столбец2]]="C",3)))</f>
        <v>3</v>
      </c>
      <c r="S362" s="413" t="s">
        <v>878</v>
      </c>
    </row>
    <row r="363" spans="1:19" ht="22.5" customHeight="1">
      <c r="A363" s="459" t="s">
        <v>666</v>
      </c>
      <c r="B363" s="422" t="s">
        <v>1660</v>
      </c>
      <c r="C363" s="422" t="s">
        <v>1660</v>
      </c>
      <c r="D363" s="437" t="s">
        <v>1428</v>
      </c>
      <c r="E363" s="437" t="s">
        <v>1661</v>
      </c>
      <c r="F363" s="437"/>
      <c r="G363" s="437">
        <v>32</v>
      </c>
      <c r="H363" s="406">
        <v>52</v>
      </c>
      <c r="I363" s="423" t="s">
        <v>1431</v>
      </c>
      <c r="J363" s="423" t="s">
        <v>1432</v>
      </c>
      <c r="K363" s="408" t="s">
        <v>925</v>
      </c>
      <c r="L363" s="462"/>
      <c r="M363" s="465">
        <v>369000</v>
      </c>
      <c r="N363" s="425">
        <f>M363*НДС!$A$1</f>
        <v>428039.99999999994</v>
      </c>
      <c r="O363" s="443" t="s">
        <v>70</v>
      </c>
      <c r="Q363" s="429" t="s">
        <v>65</v>
      </c>
      <c r="R363" s="423">
        <f>IF(Таблица68[[#This Row],[Столбец2]]="A",1,IF(Таблица68[[#This Row],[Столбец2]]="B",2,IF(Таблица68[[#This Row],[Столбец2]]="C",3)))</f>
        <v>3</v>
      </c>
      <c r="S363" s="413" t="s">
        <v>878</v>
      </c>
    </row>
    <row r="364" spans="1:19" ht="18" customHeight="1">
      <c r="A364" s="459" t="s">
        <v>667</v>
      </c>
      <c r="B364" s="422" t="s">
        <v>1662</v>
      </c>
      <c r="C364" s="422" t="s">
        <v>1662</v>
      </c>
      <c r="D364" s="437" t="s">
        <v>1428</v>
      </c>
      <c r="E364" s="437" t="s">
        <v>1663</v>
      </c>
      <c r="F364" s="437"/>
      <c r="G364" s="437">
        <v>32</v>
      </c>
      <c r="H364" s="406">
        <v>52</v>
      </c>
      <c r="I364" s="423" t="s">
        <v>1431</v>
      </c>
      <c r="J364" s="423" t="s">
        <v>1432</v>
      </c>
      <c r="K364" s="408" t="s">
        <v>925</v>
      </c>
      <c r="L364" s="462"/>
      <c r="M364" s="465">
        <v>369000</v>
      </c>
      <c r="N364" s="425">
        <f>M364*НДС!$A$1</f>
        <v>428039.99999999994</v>
      </c>
      <c r="O364" s="443" t="s">
        <v>70</v>
      </c>
      <c r="Q364" s="429" t="s">
        <v>65</v>
      </c>
      <c r="R364" s="423">
        <f>IF(Таблица68[[#This Row],[Столбец2]]="A",1,IF(Таблица68[[#This Row],[Столбец2]]="B",2,IF(Таблица68[[#This Row],[Столбец2]]="C",3)))</f>
        <v>3</v>
      </c>
      <c r="S364" s="413" t="s">
        <v>878</v>
      </c>
    </row>
    <row r="365" spans="1:19" ht="19.5" customHeight="1">
      <c r="A365" s="459" t="s">
        <v>670</v>
      </c>
      <c r="B365" s="422" t="s">
        <v>1664</v>
      </c>
      <c r="C365" s="422" t="s">
        <v>1664</v>
      </c>
      <c r="D365" s="437" t="s">
        <v>1428</v>
      </c>
      <c r="E365" s="437" t="s">
        <v>1665</v>
      </c>
      <c r="F365" s="437"/>
      <c r="G365" s="437">
        <v>40</v>
      </c>
      <c r="H365" s="406">
        <v>52</v>
      </c>
      <c r="I365" s="423" t="s">
        <v>1431</v>
      </c>
      <c r="J365" s="423" t="s">
        <v>1432</v>
      </c>
      <c r="K365" s="408" t="s">
        <v>925</v>
      </c>
      <c r="L365" s="462"/>
      <c r="M365" s="465">
        <v>435000</v>
      </c>
      <c r="N365" s="425">
        <f>M365*НДС!$A$1</f>
        <v>504599.99999999994</v>
      </c>
      <c r="O365" s="443" t="s">
        <v>70</v>
      </c>
      <c r="Q365" s="429" t="s">
        <v>65</v>
      </c>
      <c r="R365" s="423">
        <f>IF(Таблица68[[#This Row],[Столбец2]]="A",1,IF(Таблица68[[#This Row],[Столбец2]]="B",2,IF(Таблица68[[#This Row],[Столбец2]]="C",3)))</f>
        <v>3</v>
      </c>
      <c r="S365" s="413" t="s">
        <v>878</v>
      </c>
    </row>
    <row r="366" spans="1:19" ht="21.75" customHeight="1">
      <c r="A366" s="459" t="s">
        <v>671</v>
      </c>
      <c r="B366" s="422" t="s">
        <v>1666</v>
      </c>
      <c r="C366" s="422" t="s">
        <v>1666</v>
      </c>
      <c r="D366" s="437" t="s">
        <v>1428</v>
      </c>
      <c r="E366" s="437" t="s">
        <v>1667</v>
      </c>
      <c r="F366" s="437"/>
      <c r="G366" s="437">
        <v>40</v>
      </c>
      <c r="H366" s="406">
        <v>52</v>
      </c>
      <c r="I366" s="423" t="s">
        <v>1431</v>
      </c>
      <c r="J366" s="423" t="s">
        <v>1432</v>
      </c>
      <c r="K366" s="408" t="s">
        <v>925</v>
      </c>
      <c r="L366" s="462"/>
      <c r="M366" s="465">
        <v>435000</v>
      </c>
      <c r="N366" s="425">
        <f>M366*НДС!$A$1</f>
        <v>504599.99999999994</v>
      </c>
      <c r="O366" s="443" t="s">
        <v>70</v>
      </c>
      <c r="Q366" s="429" t="s">
        <v>65</v>
      </c>
      <c r="R366" s="423">
        <f>IF(Таблица68[[#This Row],[Столбец2]]="A",1,IF(Таблица68[[#This Row],[Столбец2]]="B",2,IF(Таблица68[[#This Row],[Столбец2]]="C",3)))</f>
        <v>3</v>
      </c>
      <c r="S366" s="413" t="s">
        <v>878</v>
      </c>
    </row>
    <row r="367" spans="1:19" ht="24.75" customHeight="1">
      <c r="A367" s="459" t="s">
        <v>674</v>
      </c>
      <c r="B367" s="422" t="s">
        <v>1668</v>
      </c>
      <c r="C367" s="422" t="s">
        <v>1668</v>
      </c>
      <c r="D367" s="437" t="s">
        <v>1428</v>
      </c>
      <c r="E367" s="437" t="s">
        <v>1669</v>
      </c>
      <c r="F367" s="437"/>
      <c r="G367" s="437">
        <v>50</v>
      </c>
      <c r="H367" s="406">
        <v>52</v>
      </c>
      <c r="I367" s="423" t="s">
        <v>1431</v>
      </c>
      <c r="J367" s="423" t="s">
        <v>1432</v>
      </c>
      <c r="K367" s="408" t="s">
        <v>925</v>
      </c>
      <c r="L367" s="462"/>
      <c r="M367" s="465">
        <v>477000</v>
      </c>
      <c r="N367" s="425">
        <f>M367*НДС!$A$1</f>
        <v>553320</v>
      </c>
      <c r="O367" s="443" t="s">
        <v>70</v>
      </c>
      <c r="Q367" s="429" t="s">
        <v>65</v>
      </c>
      <c r="R367" s="423">
        <f>IF(Таблица68[[#This Row],[Столбец2]]="A",1,IF(Таблица68[[#This Row],[Столбец2]]="B",2,IF(Таблица68[[#This Row],[Столбец2]]="C",3)))</f>
        <v>3</v>
      </c>
      <c r="S367" s="413" t="s">
        <v>878</v>
      </c>
    </row>
    <row r="368" spans="1:19" ht="21.75" customHeight="1">
      <c r="A368" s="459" t="s">
        <v>675</v>
      </c>
      <c r="B368" s="422" t="s">
        <v>1670</v>
      </c>
      <c r="C368" s="422" t="s">
        <v>1670</v>
      </c>
      <c r="D368" s="437" t="s">
        <v>1428</v>
      </c>
      <c r="E368" s="437" t="s">
        <v>1671</v>
      </c>
      <c r="F368" s="437"/>
      <c r="G368" s="437">
        <v>50</v>
      </c>
      <c r="H368" s="406">
        <v>52</v>
      </c>
      <c r="I368" s="423" t="s">
        <v>1431</v>
      </c>
      <c r="J368" s="423" t="s">
        <v>1432</v>
      </c>
      <c r="K368" s="408" t="s">
        <v>925</v>
      </c>
      <c r="L368" s="462"/>
      <c r="M368" s="465">
        <v>477000</v>
      </c>
      <c r="N368" s="425">
        <f>M368*НДС!$A$1</f>
        <v>553320</v>
      </c>
      <c r="O368" s="443" t="s">
        <v>70</v>
      </c>
      <c r="Q368" s="429" t="s">
        <v>65</v>
      </c>
      <c r="R368" s="423">
        <f>IF(Таблица68[[#This Row],[Столбец2]]="A",1,IF(Таблица68[[#This Row],[Столбец2]]="B",2,IF(Таблица68[[#This Row],[Столбец2]]="C",3)))</f>
        <v>3</v>
      </c>
      <c r="S368" s="413" t="s">
        <v>878</v>
      </c>
    </row>
    <row r="369" spans="1:19" ht="21.75" customHeight="1">
      <c r="A369" s="459" t="s">
        <v>678</v>
      </c>
      <c r="B369" s="422" t="s">
        <v>1672</v>
      </c>
      <c r="C369" s="422" t="s">
        <v>1672</v>
      </c>
      <c r="D369" s="437" t="s">
        <v>1428</v>
      </c>
      <c r="E369" s="437" t="s">
        <v>1673</v>
      </c>
      <c r="F369" s="437"/>
      <c r="G369" s="437">
        <v>65</v>
      </c>
      <c r="H369" s="406">
        <v>52</v>
      </c>
      <c r="I369" s="423" t="s">
        <v>1431</v>
      </c>
      <c r="J369" s="423" t="s">
        <v>1432</v>
      </c>
      <c r="K369" s="408" t="s">
        <v>925</v>
      </c>
      <c r="L369" s="462"/>
      <c r="M369" s="465">
        <v>741000</v>
      </c>
      <c r="N369" s="425">
        <f>M369*НДС!$A$1</f>
        <v>859559.99999999988</v>
      </c>
      <c r="O369" s="443" t="s">
        <v>70</v>
      </c>
      <c r="Q369" s="429" t="s">
        <v>65</v>
      </c>
      <c r="R369" s="423">
        <f>IF(Таблица68[[#This Row],[Столбец2]]="A",1,IF(Таблица68[[#This Row],[Столбец2]]="B",2,IF(Таблица68[[#This Row],[Столбец2]]="C",3)))</f>
        <v>3</v>
      </c>
      <c r="S369" s="413" t="s">
        <v>878</v>
      </c>
    </row>
    <row r="370" spans="1:19" ht="21" customHeight="1">
      <c r="A370" s="459" t="s">
        <v>679</v>
      </c>
      <c r="B370" s="422" t="s">
        <v>1674</v>
      </c>
      <c r="C370" s="422" t="s">
        <v>1674</v>
      </c>
      <c r="D370" s="437" t="s">
        <v>1428</v>
      </c>
      <c r="E370" s="437" t="s">
        <v>1675</v>
      </c>
      <c r="F370" s="437"/>
      <c r="G370" s="437">
        <v>65</v>
      </c>
      <c r="H370" s="406">
        <v>52</v>
      </c>
      <c r="I370" s="423" t="s">
        <v>1431</v>
      </c>
      <c r="J370" s="423" t="s">
        <v>1432</v>
      </c>
      <c r="K370" s="408" t="s">
        <v>925</v>
      </c>
      <c r="L370" s="462"/>
      <c r="M370" s="465">
        <v>741000</v>
      </c>
      <c r="N370" s="425">
        <f>M370*НДС!$A$1</f>
        <v>859559.99999999988</v>
      </c>
      <c r="O370" s="443" t="s">
        <v>70</v>
      </c>
      <c r="Q370" s="429" t="s">
        <v>65</v>
      </c>
      <c r="R370" s="423">
        <f>IF(Таблица68[[#This Row],[Столбец2]]="A",1,IF(Таблица68[[#This Row],[Столбец2]]="B",2,IF(Таблица68[[#This Row],[Столбец2]]="C",3)))</f>
        <v>3</v>
      </c>
      <c r="S370" s="413" t="s">
        <v>878</v>
      </c>
    </row>
    <row r="371" spans="1:19" ht="20.25" customHeight="1">
      <c r="A371" s="459" t="s">
        <v>682</v>
      </c>
      <c r="B371" s="422" t="s">
        <v>1676</v>
      </c>
      <c r="C371" s="422" t="s">
        <v>1676</v>
      </c>
      <c r="D371" s="437" t="s">
        <v>1428</v>
      </c>
      <c r="E371" s="437" t="s">
        <v>1677</v>
      </c>
      <c r="F371" s="437"/>
      <c r="G371" s="437">
        <v>80</v>
      </c>
      <c r="H371" s="406">
        <v>52</v>
      </c>
      <c r="I371" s="423" t="s">
        <v>1431</v>
      </c>
      <c r="J371" s="423" t="s">
        <v>1432</v>
      </c>
      <c r="K371" s="408" t="s">
        <v>925</v>
      </c>
      <c r="L371" s="462"/>
      <c r="M371" s="465">
        <v>771000</v>
      </c>
      <c r="N371" s="425">
        <f>M371*НДС!$A$1</f>
        <v>894359.99999999988</v>
      </c>
      <c r="O371" s="443" t="s">
        <v>70</v>
      </c>
      <c r="Q371" s="429" t="s">
        <v>65</v>
      </c>
      <c r="R371" s="423">
        <f>IF(Таблица68[[#This Row],[Столбец2]]="A",1,IF(Таблица68[[#This Row],[Столбец2]]="B",2,IF(Таблица68[[#This Row],[Столбец2]]="C",3)))</f>
        <v>3</v>
      </c>
      <c r="S371" s="413" t="s">
        <v>878</v>
      </c>
    </row>
    <row r="372" spans="1:19" ht="18" customHeight="1">
      <c r="A372" s="459" t="s">
        <v>683</v>
      </c>
      <c r="B372" s="422" t="s">
        <v>1678</v>
      </c>
      <c r="C372" s="422" t="s">
        <v>1678</v>
      </c>
      <c r="D372" s="437" t="s">
        <v>1428</v>
      </c>
      <c r="E372" s="437" t="s">
        <v>1679</v>
      </c>
      <c r="F372" s="437"/>
      <c r="G372" s="437">
        <v>80</v>
      </c>
      <c r="H372" s="406">
        <v>52</v>
      </c>
      <c r="I372" s="423" t="s">
        <v>1431</v>
      </c>
      <c r="J372" s="423" t="s">
        <v>1432</v>
      </c>
      <c r="K372" s="408" t="s">
        <v>925</v>
      </c>
      <c r="L372" s="462"/>
      <c r="M372" s="465">
        <v>771000</v>
      </c>
      <c r="N372" s="425">
        <f>M372*НДС!$A$1</f>
        <v>894359.99999999988</v>
      </c>
      <c r="O372" s="443" t="s">
        <v>70</v>
      </c>
      <c r="Q372" s="429" t="s">
        <v>65</v>
      </c>
      <c r="R372" s="423">
        <f>IF(Таблица68[[#This Row],[Столбец2]]="A",1,IF(Таблица68[[#This Row],[Столбец2]]="B",2,IF(Таблица68[[#This Row],[Столбец2]]="C",3)))</f>
        <v>3</v>
      </c>
      <c r="S372" s="413" t="s">
        <v>878</v>
      </c>
    </row>
    <row r="373" spans="1:19" ht="25">
      <c r="A373" s="459" t="s">
        <v>164</v>
      </c>
      <c r="B373" s="422" t="s">
        <v>1055</v>
      </c>
      <c r="C373" s="422" t="s">
        <v>1680</v>
      </c>
      <c r="D373" s="437" t="s">
        <v>844</v>
      </c>
      <c r="E373" s="437" t="str">
        <f>RIGHT(Таблица68[[#This Row],[Полное  наименование]],19)</f>
        <v>SVA 100 G STR PN 40</v>
      </c>
      <c r="F373" s="437" t="s">
        <v>257</v>
      </c>
      <c r="G373" s="437">
        <v>100</v>
      </c>
      <c r="H373" s="423">
        <v>40</v>
      </c>
      <c r="I373" s="423" t="s">
        <v>346</v>
      </c>
      <c r="J373" s="423" t="s">
        <v>924</v>
      </c>
      <c r="K373" s="424" t="s">
        <v>1681</v>
      </c>
      <c r="L373" s="422" t="s">
        <v>1682</v>
      </c>
      <c r="M373" s="425">
        <v>210000</v>
      </c>
      <c r="N373" s="425">
        <f>M373*НДС!$A$1</f>
        <v>243599.99999999997</v>
      </c>
      <c r="O373" s="426" t="s">
        <v>70</v>
      </c>
      <c r="Q373" s="454" t="s">
        <v>65</v>
      </c>
      <c r="R373" s="423">
        <f>IF(Таблица68[[#This Row],[Столбец2]]="A",1,IF(Таблица68[[#This Row],[Столбец2]]="B",2,IF(Таблица68[[#This Row],[Столбец2]]="C",3)))</f>
        <v>3</v>
      </c>
      <c r="S373" s="430" t="s">
        <v>878</v>
      </c>
    </row>
    <row r="374" spans="1:19" ht="25">
      <c r="A374" s="459" t="s">
        <v>186</v>
      </c>
      <c r="B374" s="422" t="s">
        <v>1055</v>
      </c>
      <c r="C374" s="422" t="s">
        <v>1683</v>
      </c>
      <c r="D374" s="437" t="s">
        <v>844</v>
      </c>
      <c r="E374" s="437" t="str">
        <f>RIGHT(Таблица68[[#This Row],[Полное  наименование]],19)</f>
        <v>SVA 100 G ANG PN 40</v>
      </c>
      <c r="F374" s="437" t="s">
        <v>267</v>
      </c>
      <c r="G374" s="437">
        <v>100</v>
      </c>
      <c r="H374" s="423">
        <v>40</v>
      </c>
      <c r="I374" s="423" t="s">
        <v>346</v>
      </c>
      <c r="J374" s="423" t="s">
        <v>924</v>
      </c>
      <c r="K374" s="424" t="s">
        <v>1681</v>
      </c>
      <c r="L374" s="422" t="s">
        <v>1684</v>
      </c>
      <c r="M374" s="425">
        <v>210000</v>
      </c>
      <c r="N374" s="425">
        <f>M374*НДС!$A$1</f>
        <v>243599.99999999997</v>
      </c>
      <c r="O374" s="426" t="s">
        <v>70</v>
      </c>
      <c r="Q374" s="454" t="s">
        <v>65</v>
      </c>
      <c r="R374" s="423">
        <f>IF(Таблица68[[#This Row],[Столбец2]]="A",1,IF(Таблица68[[#This Row],[Столбец2]]="B",2,IF(Таблица68[[#This Row],[Столбец2]]="C",3)))</f>
        <v>3</v>
      </c>
      <c r="S374" s="430" t="s">
        <v>878</v>
      </c>
    </row>
    <row r="375" spans="1:19" ht="25">
      <c r="A375" s="459" t="s">
        <v>168</v>
      </c>
      <c r="B375" s="422" t="s">
        <v>1055</v>
      </c>
      <c r="C375" s="422" t="s">
        <v>1685</v>
      </c>
      <c r="D375" s="437" t="s">
        <v>844</v>
      </c>
      <c r="E375" s="437" t="str">
        <f>RIGHT(Таблица68[[#This Row],[Полное  наименование]],19)</f>
        <v>SVA 125 G STR PN 40</v>
      </c>
      <c r="F375" s="437" t="s">
        <v>257</v>
      </c>
      <c r="G375" s="437">
        <v>125</v>
      </c>
      <c r="H375" s="423">
        <v>40</v>
      </c>
      <c r="I375" s="423" t="s">
        <v>346</v>
      </c>
      <c r="J375" s="423" t="s">
        <v>924</v>
      </c>
      <c r="K375" s="424" t="s">
        <v>1681</v>
      </c>
      <c r="L375" s="422" t="s">
        <v>1686</v>
      </c>
      <c r="M375" s="425">
        <v>348000</v>
      </c>
      <c r="N375" s="425">
        <f>M375*НДС!$A$1</f>
        <v>403680</v>
      </c>
      <c r="O375" s="426" t="s">
        <v>70</v>
      </c>
      <c r="Q375" s="429" t="s">
        <v>65</v>
      </c>
      <c r="R375" s="423">
        <f>IF(Таблица68[[#This Row],[Столбец2]]="A",1,IF(Таблица68[[#This Row],[Столбец2]]="B",2,IF(Таблица68[[#This Row],[Столбец2]]="C",3)))</f>
        <v>3</v>
      </c>
      <c r="S375" s="430" t="s">
        <v>878</v>
      </c>
    </row>
    <row r="376" spans="1:19" ht="25">
      <c r="A376" s="459" t="s">
        <v>190</v>
      </c>
      <c r="B376" s="422" t="s">
        <v>1055</v>
      </c>
      <c r="C376" s="422" t="s">
        <v>1687</v>
      </c>
      <c r="D376" s="437" t="s">
        <v>844</v>
      </c>
      <c r="E376" s="437" t="str">
        <f>RIGHT(Таблица68[[#This Row],[Полное  наименование]],19)</f>
        <v>SVA 125 G ANG PN 40</v>
      </c>
      <c r="F376" s="437" t="s">
        <v>267</v>
      </c>
      <c r="G376" s="437">
        <v>125</v>
      </c>
      <c r="H376" s="423">
        <v>40</v>
      </c>
      <c r="I376" s="423" t="s">
        <v>346</v>
      </c>
      <c r="J376" s="423" t="s">
        <v>924</v>
      </c>
      <c r="K376" s="424" t="s">
        <v>1681</v>
      </c>
      <c r="L376" s="422" t="s">
        <v>1688</v>
      </c>
      <c r="M376" s="425">
        <v>348000</v>
      </c>
      <c r="N376" s="425">
        <f>M376*НДС!$A$1</f>
        <v>403680</v>
      </c>
      <c r="O376" s="426" t="s">
        <v>70</v>
      </c>
      <c r="Q376" s="429" t="s">
        <v>65</v>
      </c>
      <c r="R376" s="423">
        <f>IF(Таблица68[[#This Row],[Столбец2]]="A",1,IF(Таблица68[[#This Row],[Столбец2]]="B",2,IF(Таблица68[[#This Row],[Столбец2]]="C",3)))</f>
        <v>3</v>
      </c>
      <c r="S376" s="430" t="s">
        <v>878</v>
      </c>
    </row>
    <row r="377" spans="1:19" ht="25">
      <c r="A377" s="459" t="s">
        <v>172</v>
      </c>
      <c r="B377" s="422" t="s">
        <v>1055</v>
      </c>
      <c r="C377" s="422" t="s">
        <v>1689</v>
      </c>
      <c r="D377" s="437" t="s">
        <v>844</v>
      </c>
      <c r="E377" s="437" t="str">
        <f>RIGHT(Таблица68[[#This Row],[Полное  наименование]],19)</f>
        <v>SVA 150 G STR PN 40</v>
      </c>
      <c r="F377" s="437" t="s">
        <v>257</v>
      </c>
      <c r="G377" s="437">
        <v>150</v>
      </c>
      <c r="H377" s="423">
        <v>40</v>
      </c>
      <c r="I377" s="423" t="s">
        <v>346</v>
      </c>
      <c r="J377" s="423" t="s">
        <v>924</v>
      </c>
      <c r="K377" s="424" t="s">
        <v>1681</v>
      </c>
      <c r="L377" s="422" t="s">
        <v>1690</v>
      </c>
      <c r="M377" s="425">
        <v>492000</v>
      </c>
      <c r="N377" s="425">
        <f>M377*НДС!$A$1</f>
        <v>570720</v>
      </c>
      <c r="O377" s="426" t="s">
        <v>70</v>
      </c>
      <c r="Q377" s="429" t="s">
        <v>65</v>
      </c>
      <c r="R377" s="423">
        <f>IF(Таблица68[[#This Row],[Столбец2]]="A",1,IF(Таблица68[[#This Row],[Столбец2]]="B",2,IF(Таблица68[[#This Row],[Столбец2]]="C",3)))</f>
        <v>3</v>
      </c>
      <c r="S377" s="430" t="s">
        <v>878</v>
      </c>
    </row>
    <row r="378" spans="1:19" ht="25">
      <c r="A378" s="459" t="s">
        <v>194</v>
      </c>
      <c r="B378" s="422" t="s">
        <v>1055</v>
      </c>
      <c r="C378" s="422" t="s">
        <v>1691</v>
      </c>
      <c r="D378" s="437" t="s">
        <v>844</v>
      </c>
      <c r="E378" s="437" t="str">
        <f>RIGHT(Таблица68[[#This Row],[Полное  наименование]],19)</f>
        <v>SVA 150 G ANG PN 40</v>
      </c>
      <c r="F378" s="437" t="s">
        <v>267</v>
      </c>
      <c r="G378" s="437">
        <v>150</v>
      </c>
      <c r="H378" s="423">
        <v>40</v>
      </c>
      <c r="I378" s="423" t="s">
        <v>346</v>
      </c>
      <c r="J378" s="423" t="s">
        <v>924</v>
      </c>
      <c r="K378" s="424" t="s">
        <v>1681</v>
      </c>
      <c r="L378" s="422" t="s">
        <v>1692</v>
      </c>
      <c r="M378" s="425">
        <v>492000</v>
      </c>
      <c r="N378" s="425">
        <f>M378*НДС!$A$1</f>
        <v>570720</v>
      </c>
      <c r="O378" s="426" t="s">
        <v>70</v>
      </c>
      <c r="Q378" s="429" t="s">
        <v>65</v>
      </c>
      <c r="R378" s="423">
        <f>IF(Таблица68[[#This Row],[Столбец2]]="A",1,IF(Таблица68[[#This Row],[Столбец2]]="B",2,IF(Таблица68[[#This Row],[Столбец2]]="C",3)))</f>
        <v>3</v>
      </c>
      <c r="S378" s="430" t="s">
        <v>878</v>
      </c>
    </row>
    <row r="379" spans="1:19" ht="25">
      <c r="A379" s="459" t="s">
        <v>162</v>
      </c>
      <c r="B379" s="422" t="s">
        <v>1055</v>
      </c>
      <c r="C379" s="422" t="s">
        <v>1693</v>
      </c>
      <c r="D379" s="437" t="s">
        <v>844</v>
      </c>
      <c r="E379" s="437" t="str">
        <f>RIGHT(Таблица68[[#This Row],[Полное  наименование]],19)</f>
        <v>SVA 100 G STR PN 52</v>
      </c>
      <c r="F379" s="437" t="s">
        <v>257</v>
      </c>
      <c r="G379" s="437">
        <v>100</v>
      </c>
      <c r="H379" s="423">
        <v>52</v>
      </c>
      <c r="I379" s="423" t="s">
        <v>346</v>
      </c>
      <c r="J379" s="423" t="s">
        <v>924</v>
      </c>
      <c r="K379" s="424" t="s">
        <v>1681</v>
      </c>
      <c r="L379" s="422" t="s">
        <v>1682</v>
      </c>
      <c r="M379" s="425">
        <v>246000</v>
      </c>
      <c r="N379" s="425">
        <f>M379*НДС!$A$1</f>
        <v>285360</v>
      </c>
      <c r="O379" s="426" t="s">
        <v>70</v>
      </c>
      <c r="Q379" s="429" t="s">
        <v>65</v>
      </c>
      <c r="R379" s="423">
        <f>IF(Таблица68[[#This Row],[Столбец2]]="A",1,IF(Таблица68[[#This Row],[Столбец2]]="B",2,IF(Таблица68[[#This Row],[Столбец2]]="C",3)))</f>
        <v>3</v>
      </c>
      <c r="S379" s="430" t="s">
        <v>878</v>
      </c>
    </row>
    <row r="380" spans="1:19" ht="25">
      <c r="A380" s="459" t="s">
        <v>184</v>
      </c>
      <c r="B380" s="422" t="s">
        <v>1055</v>
      </c>
      <c r="C380" s="422" t="s">
        <v>1694</v>
      </c>
      <c r="D380" s="437" t="s">
        <v>844</v>
      </c>
      <c r="E380" s="437" t="str">
        <f>RIGHT(Таблица68[[#This Row],[Полное  наименование]],19)</f>
        <v>SVA 100 G ANG PN 52</v>
      </c>
      <c r="F380" s="437" t="s">
        <v>267</v>
      </c>
      <c r="G380" s="437">
        <v>100</v>
      </c>
      <c r="H380" s="423">
        <v>52</v>
      </c>
      <c r="I380" s="423" t="s">
        <v>346</v>
      </c>
      <c r="J380" s="423" t="s">
        <v>924</v>
      </c>
      <c r="K380" s="424" t="s">
        <v>1681</v>
      </c>
      <c r="L380" s="422" t="s">
        <v>1684</v>
      </c>
      <c r="M380" s="425">
        <v>246000</v>
      </c>
      <c r="N380" s="425">
        <f>M380*НДС!$A$1</f>
        <v>285360</v>
      </c>
      <c r="O380" s="426" t="s">
        <v>70</v>
      </c>
      <c r="Q380" s="429" t="s">
        <v>65</v>
      </c>
      <c r="R380" s="423">
        <f>IF(Таблица68[[#This Row],[Столбец2]]="A",1,IF(Таблица68[[#This Row],[Столбец2]]="B",2,IF(Таблица68[[#This Row],[Столбец2]]="C",3)))</f>
        <v>3</v>
      </c>
      <c r="S380" s="430" t="s">
        <v>878</v>
      </c>
    </row>
    <row r="381" spans="1:19" ht="25">
      <c r="A381" s="459" t="s">
        <v>166</v>
      </c>
      <c r="B381" s="422" t="s">
        <v>1055</v>
      </c>
      <c r="C381" s="422" t="s">
        <v>1695</v>
      </c>
      <c r="D381" s="437" t="s">
        <v>844</v>
      </c>
      <c r="E381" s="437" t="str">
        <f>RIGHT(Таблица68[[#This Row],[Полное  наименование]],19)</f>
        <v>SVA 125 G STR PN 52</v>
      </c>
      <c r="F381" s="437" t="s">
        <v>257</v>
      </c>
      <c r="G381" s="437">
        <v>125</v>
      </c>
      <c r="H381" s="423">
        <v>52</v>
      </c>
      <c r="I381" s="423" t="s">
        <v>346</v>
      </c>
      <c r="J381" s="423" t="s">
        <v>924</v>
      </c>
      <c r="K381" s="424" t="s">
        <v>1681</v>
      </c>
      <c r="L381" s="422" t="s">
        <v>1686</v>
      </c>
      <c r="M381" s="425">
        <v>420000</v>
      </c>
      <c r="N381" s="425">
        <f>M381*НДС!$A$1</f>
        <v>487199.99999999994</v>
      </c>
      <c r="O381" s="426" t="s">
        <v>70</v>
      </c>
      <c r="Q381" s="429" t="s">
        <v>65</v>
      </c>
      <c r="R381" s="423">
        <f>IF(Таблица68[[#This Row],[Столбец2]]="A",1,IF(Таблица68[[#This Row],[Столбец2]]="B",2,IF(Таблица68[[#This Row],[Столбец2]]="C",3)))</f>
        <v>3</v>
      </c>
      <c r="S381" s="430" t="s">
        <v>878</v>
      </c>
    </row>
    <row r="382" spans="1:19" ht="25">
      <c r="A382" s="459" t="s">
        <v>188</v>
      </c>
      <c r="B382" s="422" t="s">
        <v>1055</v>
      </c>
      <c r="C382" s="422" t="s">
        <v>1696</v>
      </c>
      <c r="D382" s="437" t="s">
        <v>844</v>
      </c>
      <c r="E382" s="437" t="str">
        <f>RIGHT(Таблица68[[#This Row],[Полное  наименование]],19)</f>
        <v>SVA 125 G ANG PN 52</v>
      </c>
      <c r="F382" s="437" t="s">
        <v>267</v>
      </c>
      <c r="G382" s="437">
        <v>125</v>
      </c>
      <c r="H382" s="423">
        <v>52</v>
      </c>
      <c r="I382" s="423" t="s">
        <v>346</v>
      </c>
      <c r="J382" s="423" t="s">
        <v>924</v>
      </c>
      <c r="K382" s="424" t="s">
        <v>1681</v>
      </c>
      <c r="L382" s="422" t="s">
        <v>1688</v>
      </c>
      <c r="M382" s="425">
        <v>420000</v>
      </c>
      <c r="N382" s="425">
        <f>M382*НДС!$A$1</f>
        <v>487199.99999999994</v>
      </c>
      <c r="O382" s="426" t="s">
        <v>70</v>
      </c>
      <c r="Q382" s="429" t="s">
        <v>65</v>
      </c>
      <c r="R382" s="423">
        <f>IF(Таблица68[[#This Row],[Столбец2]]="A",1,IF(Таблица68[[#This Row],[Столбец2]]="B",2,IF(Таблица68[[#This Row],[Столбец2]]="C",3)))</f>
        <v>3</v>
      </c>
      <c r="S382" s="430" t="s">
        <v>878</v>
      </c>
    </row>
    <row r="383" spans="1:19" ht="25">
      <c r="A383" s="459" t="s">
        <v>170</v>
      </c>
      <c r="B383" s="422" t="s">
        <v>1055</v>
      </c>
      <c r="C383" s="422" t="s">
        <v>1697</v>
      </c>
      <c r="D383" s="437" t="s">
        <v>844</v>
      </c>
      <c r="E383" s="437" t="str">
        <f>RIGHT(Таблица68[[#This Row],[Полное  наименование]],19)</f>
        <v>SVA 150 G STR PN 52</v>
      </c>
      <c r="F383" s="437" t="s">
        <v>257</v>
      </c>
      <c r="G383" s="437">
        <v>150</v>
      </c>
      <c r="H383" s="423">
        <v>52</v>
      </c>
      <c r="I383" s="423" t="s">
        <v>346</v>
      </c>
      <c r="J383" s="423" t="s">
        <v>924</v>
      </c>
      <c r="K383" s="424" t="s">
        <v>1681</v>
      </c>
      <c r="L383" s="422" t="s">
        <v>1690</v>
      </c>
      <c r="M383" s="425">
        <v>588000</v>
      </c>
      <c r="N383" s="425">
        <f>M383*НДС!$A$1</f>
        <v>682080</v>
      </c>
      <c r="O383" s="426" t="s">
        <v>70</v>
      </c>
      <c r="Q383" s="429" t="s">
        <v>65</v>
      </c>
      <c r="R383" s="423">
        <f>IF(Таблица68[[#This Row],[Столбец2]]="A",1,IF(Таблица68[[#This Row],[Столбец2]]="B",2,IF(Таблица68[[#This Row],[Столбец2]]="C",3)))</f>
        <v>3</v>
      </c>
      <c r="S383" s="430" t="s">
        <v>878</v>
      </c>
    </row>
    <row r="384" spans="1:19" ht="25">
      <c r="A384" s="459" t="s">
        <v>192</v>
      </c>
      <c r="B384" s="422" t="s">
        <v>1055</v>
      </c>
      <c r="C384" s="422" t="s">
        <v>1698</v>
      </c>
      <c r="D384" s="437" t="s">
        <v>844</v>
      </c>
      <c r="E384" s="437" t="str">
        <f>RIGHT(Таблица68[[#This Row],[Полное  наименование]],19)</f>
        <v>SVA 150 G ANG PN 52</v>
      </c>
      <c r="F384" s="437" t="s">
        <v>267</v>
      </c>
      <c r="G384" s="437">
        <v>150</v>
      </c>
      <c r="H384" s="423">
        <v>52</v>
      </c>
      <c r="I384" s="423" t="s">
        <v>346</v>
      </c>
      <c r="J384" s="423" t="s">
        <v>924</v>
      </c>
      <c r="K384" s="424" t="s">
        <v>1681</v>
      </c>
      <c r="L384" s="422" t="s">
        <v>1692</v>
      </c>
      <c r="M384" s="425">
        <v>588000</v>
      </c>
      <c r="N384" s="425">
        <f>M384*НДС!$A$1</f>
        <v>682080</v>
      </c>
      <c r="O384" s="426" t="s">
        <v>70</v>
      </c>
      <c r="Q384" s="429" t="s">
        <v>65</v>
      </c>
      <c r="R384" s="423">
        <f>IF(Таблица68[[#This Row],[Столбец2]]="A",1,IF(Таблица68[[#This Row],[Столбец2]]="B",2,IF(Таблица68[[#This Row],[Столбец2]]="C",3)))</f>
        <v>3</v>
      </c>
      <c r="S384" s="430" t="s">
        <v>878</v>
      </c>
    </row>
    <row r="385" spans="1:19" ht="25">
      <c r="A385" s="459" t="s">
        <v>397</v>
      </c>
      <c r="B385" s="422" t="s">
        <v>1275</v>
      </c>
      <c r="C385" s="422" t="s">
        <v>1699</v>
      </c>
      <c r="D385" s="437" t="s">
        <v>1700</v>
      </c>
      <c r="E385" s="437" t="str">
        <f>RIGHT(Таблица68[[#This Row],[Полное  наименование]],19)</f>
        <v>FIA 100 G STR PN 40</v>
      </c>
      <c r="F385" s="437" t="s">
        <v>257</v>
      </c>
      <c r="G385" s="437">
        <v>100</v>
      </c>
      <c r="H385" s="423">
        <v>40</v>
      </c>
      <c r="I385" s="423" t="s">
        <v>346</v>
      </c>
      <c r="J385" s="423" t="s">
        <v>924</v>
      </c>
      <c r="K385" s="424" t="s">
        <v>1681</v>
      </c>
      <c r="L385" s="462"/>
      <c r="M385" s="425">
        <v>210000</v>
      </c>
      <c r="N385" s="425">
        <f>M385*НДС!$A$1</f>
        <v>243599.99999999997</v>
      </c>
      <c r="O385" s="426" t="s">
        <v>70</v>
      </c>
      <c r="Q385" s="429" t="s">
        <v>65</v>
      </c>
      <c r="R385" s="423">
        <f>IF(Таблица68[[#This Row],[Столбец2]]="A",1,IF(Таблица68[[#This Row],[Столбец2]]="B",2,IF(Таблица68[[#This Row],[Столбец2]]="C",3)))</f>
        <v>3</v>
      </c>
      <c r="S385" s="430" t="s">
        <v>878</v>
      </c>
    </row>
    <row r="386" spans="1:19" ht="25">
      <c r="A386" s="459" t="s">
        <v>441</v>
      </c>
      <c r="B386" s="422" t="s">
        <v>1275</v>
      </c>
      <c r="C386" s="422" t="s">
        <v>1701</v>
      </c>
      <c r="D386" s="437" t="s">
        <v>1700</v>
      </c>
      <c r="E386" s="437" t="str">
        <f>RIGHT(Таблица68[[#This Row],[Полное  наименование]],19)</f>
        <v>FIA 100 G ANG PN 40</v>
      </c>
      <c r="F386" s="437" t="s">
        <v>267</v>
      </c>
      <c r="G386" s="437">
        <v>100</v>
      </c>
      <c r="H386" s="423">
        <v>40</v>
      </c>
      <c r="I386" s="423" t="s">
        <v>346</v>
      </c>
      <c r="J386" s="423" t="s">
        <v>924</v>
      </c>
      <c r="K386" s="424" t="s">
        <v>1681</v>
      </c>
      <c r="L386" s="462"/>
      <c r="M386" s="425">
        <v>210000</v>
      </c>
      <c r="N386" s="425">
        <f>M386*НДС!$A$1</f>
        <v>243599.99999999997</v>
      </c>
      <c r="O386" s="426" t="s">
        <v>70</v>
      </c>
      <c r="Q386" s="429" t="s">
        <v>65</v>
      </c>
      <c r="R386" s="423">
        <f>IF(Таблица68[[#This Row],[Столбец2]]="A",1,IF(Таблица68[[#This Row],[Столбец2]]="B",2,IF(Таблица68[[#This Row],[Столбец2]]="C",3)))</f>
        <v>3</v>
      </c>
      <c r="S386" s="430" t="s">
        <v>878</v>
      </c>
    </row>
    <row r="387" spans="1:19" ht="25">
      <c r="A387" s="459" t="s">
        <v>405</v>
      </c>
      <c r="B387" s="422" t="s">
        <v>1275</v>
      </c>
      <c r="C387" s="422" t="s">
        <v>1702</v>
      </c>
      <c r="D387" s="437" t="s">
        <v>1700</v>
      </c>
      <c r="E387" s="437" t="str">
        <f>RIGHT(Таблица68[[#This Row],[Полное  наименование]],19)</f>
        <v>FIA 125 G STR PN 40</v>
      </c>
      <c r="F387" s="437" t="s">
        <v>257</v>
      </c>
      <c r="G387" s="437">
        <v>125</v>
      </c>
      <c r="H387" s="423">
        <v>40</v>
      </c>
      <c r="I387" s="423" t="s">
        <v>346</v>
      </c>
      <c r="J387" s="423" t="s">
        <v>924</v>
      </c>
      <c r="K387" s="424" t="s">
        <v>1681</v>
      </c>
      <c r="L387" s="462"/>
      <c r="M387" s="425">
        <v>354000</v>
      </c>
      <c r="N387" s="425">
        <f>M387*НДС!$A$1</f>
        <v>410640</v>
      </c>
      <c r="O387" s="426" t="s">
        <v>70</v>
      </c>
      <c r="Q387" s="429" t="s">
        <v>65</v>
      </c>
      <c r="R387" s="423">
        <f>IF(Таблица68[[#This Row],[Столбец2]]="A",1,IF(Таблица68[[#This Row],[Столбец2]]="B",2,IF(Таблица68[[#This Row],[Столбец2]]="C",3)))</f>
        <v>3</v>
      </c>
      <c r="S387" s="430" t="s">
        <v>878</v>
      </c>
    </row>
    <row r="388" spans="1:19" ht="25">
      <c r="A388" s="459" t="s">
        <v>445</v>
      </c>
      <c r="B388" s="422" t="s">
        <v>1275</v>
      </c>
      <c r="C388" s="422" t="s">
        <v>1703</v>
      </c>
      <c r="D388" s="437" t="s">
        <v>1700</v>
      </c>
      <c r="E388" s="437" t="str">
        <f>RIGHT(Таблица68[[#This Row],[Полное  наименование]],19)</f>
        <v>FIA 125 G ANG PN 40</v>
      </c>
      <c r="F388" s="437" t="s">
        <v>267</v>
      </c>
      <c r="G388" s="437">
        <v>125</v>
      </c>
      <c r="H388" s="423">
        <v>40</v>
      </c>
      <c r="I388" s="423" t="s">
        <v>346</v>
      </c>
      <c r="J388" s="423" t="s">
        <v>924</v>
      </c>
      <c r="K388" s="424" t="s">
        <v>1681</v>
      </c>
      <c r="L388" s="462"/>
      <c r="M388" s="425">
        <v>354000</v>
      </c>
      <c r="N388" s="425">
        <f>M388*НДС!$A$1</f>
        <v>410640</v>
      </c>
      <c r="O388" s="426" t="s">
        <v>70</v>
      </c>
      <c r="Q388" s="429" t="s">
        <v>65</v>
      </c>
      <c r="R388" s="423">
        <f>IF(Таблица68[[#This Row],[Столбец2]]="A",1,IF(Таблица68[[#This Row],[Столбец2]]="B",2,IF(Таблица68[[#This Row],[Столбец2]]="C",3)))</f>
        <v>3</v>
      </c>
      <c r="S388" s="430" t="s">
        <v>878</v>
      </c>
    </row>
    <row r="389" spans="1:19" ht="25">
      <c r="A389" s="459" t="s">
        <v>413</v>
      </c>
      <c r="B389" s="422" t="s">
        <v>1275</v>
      </c>
      <c r="C389" s="422" t="s">
        <v>1704</v>
      </c>
      <c r="D389" s="437" t="s">
        <v>1700</v>
      </c>
      <c r="E389" s="437" t="str">
        <f>RIGHT(Таблица68[[#This Row],[Полное  наименование]],19)</f>
        <v>FIA 150 G STR PN 40</v>
      </c>
      <c r="F389" s="437" t="s">
        <v>257</v>
      </c>
      <c r="G389" s="437">
        <v>150</v>
      </c>
      <c r="H389" s="423">
        <v>40</v>
      </c>
      <c r="I389" s="423" t="s">
        <v>346</v>
      </c>
      <c r="J389" s="423" t="s">
        <v>924</v>
      </c>
      <c r="K389" s="424" t="s">
        <v>1681</v>
      </c>
      <c r="L389" s="462"/>
      <c r="M389" s="425">
        <v>498000</v>
      </c>
      <c r="N389" s="425">
        <f>M389*НДС!$A$1</f>
        <v>577680</v>
      </c>
      <c r="O389" s="426" t="s">
        <v>70</v>
      </c>
      <c r="Q389" s="429" t="s">
        <v>65</v>
      </c>
      <c r="R389" s="423">
        <f>IF(Таблица68[[#This Row],[Столбец2]]="A",1,IF(Таблица68[[#This Row],[Столбец2]]="B",2,IF(Таблица68[[#This Row],[Столбец2]]="C",3)))</f>
        <v>3</v>
      </c>
      <c r="S389" s="430" t="s">
        <v>878</v>
      </c>
    </row>
    <row r="390" spans="1:19" ht="25">
      <c r="A390" s="459" t="s">
        <v>449</v>
      </c>
      <c r="B390" s="422" t="s">
        <v>1275</v>
      </c>
      <c r="C390" s="422" t="s">
        <v>1705</v>
      </c>
      <c r="D390" s="437" t="s">
        <v>1700</v>
      </c>
      <c r="E390" s="437" t="str">
        <f>RIGHT(Таблица68[[#This Row],[Полное  наименование]],19)</f>
        <v>FIA 150 G ANG PN 40</v>
      </c>
      <c r="F390" s="437" t="s">
        <v>267</v>
      </c>
      <c r="G390" s="437">
        <v>150</v>
      </c>
      <c r="H390" s="423">
        <v>40</v>
      </c>
      <c r="I390" s="423" t="s">
        <v>346</v>
      </c>
      <c r="J390" s="423" t="s">
        <v>924</v>
      </c>
      <c r="K390" s="424" t="s">
        <v>1681</v>
      </c>
      <c r="L390" s="462"/>
      <c r="M390" s="425">
        <v>498000</v>
      </c>
      <c r="N390" s="425">
        <f>M390*НДС!$A$1</f>
        <v>577680</v>
      </c>
      <c r="O390" s="426" t="s">
        <v>70</v>
      </c>
      <c r="Q390" s="429" t="s">
        <v>65</v>
      </c>
      <c r="R390" s="423">
        <f>IF(Таблица68[[#This Row],[Столбец2]]="A",1,IF(Таблица68[[#This Row],[Столбец2]]="B",2,IF(Таблица68[[#This Row],[Столбец2]]="C",3)))</f>
        <v>3</v>
      </c>
      <c r="S390" s="430" t="s">
        <v>878</v>
      </c>
    </row>
    <row r="391" spans="1:19" ht="25">
      <c r="A391" s="459" t="s">
        <v>393</v>
      </c>
      <c r="B391" s="422" t="s">
        <v>1275</v>
      </c>
      <c r="C391" s="422" t="s">
        <v>1706</v>
      </c>
      <c r="D391" s="437" t="s">
        <v>1700</v>
      </c>
      <c r="E391" s="437" t="str">
        <f>RIGHT(Таблица68[[#This Row],[Полное  наименование]],19)</f>
        <v>FIA 100 G STR PN 52</v>
      </c>
      <c r="F391" s="437" t="s">
        <v>257</v>
      </c>
      <c r="G391" s="437">
        <v>100</v>
      </c>
      <c r="H391" s="423">
        <v>52</v>
      </c>
      <c r="I391" s="423" t="s">
        <v>346</v>
      </c>
      <c r="J391" s="423" t="s">
        <v>924</v>
      </c>
      <c r="K391" s="424" t="s">
        <v>1681</v>
      </c>
      <c r="L391" s="462"/>
      <c r="M391" s="425">
        <v>240000</v>
      </c>
      <c r="N391" s="425">
        <f>M391*НДС!$A$1</f>
        <v>278400</v>
      </c>
      <c r="O391" s="426" t="s">
        <v>70</v>
      </c>
      <c r="Q391" s="429" t="s">
        <v>65</v>
      </c>
      <c r="R391" s="423">
        <f>IF(Таблица68[[#This Row],[Столбец2]]="A",1,IF(Таблица68[[#This Row],[Столбец2]]="B",2,IF(Таблица68[[#This Row],[Столбец2]]="C",3)))</f>
        <v>3</v>
      </c>
      <c r="S391" s="430" t="s">
        <v>878</v>
      </c>
    </row>
    <row r="392" spans="1:19" ht="25">
      <c r="A392" s="459" t="s">
        <v>439</v>
      </c>
      <c r="B392" s="422" t="s">
        <v>1275</v>
      </c>
      <c r="C392" s="422" t="s">
        <v>1707</v>
      </c>
      <c r="D392" s="437" t="s">
        <v>1700</v>
      </c>
      <c r="E392" s="437" t="str">
        <f>RIGHT(Таблица68[[#This Row],[Полное  наименование]],19)</f>
        <v>FIA 100 G ANG PN 52</v>
      </c>
      <c r="F392" s="437" t="s">
        <v>267</v>
      </c>
      <c r="G392" s="437">
        <v>100</v>
      </c>
      <c r="H392" s="423">
        <v>52</v>
      </c>
      <c r="I392" s="423" t="s">
        <v>346</v>
      </c>
      <c r="J392" s="423" t="s">
        <v>924</v>
      </c>
      <c r="K392" s="424" t="s">
        <v>1681</v>
      </c>
      <c r="L392" s="462"/>
      <c r="M392" s="425">
        <v>240000</v>
      </c>
      <c r="N392" s="425">
        <f>M392*НДС!$A$1</f>
        <v>278400</v>
      </c>
      <c r="O392" s="426" t="s">
        <v>70</v>
      </c>
      <c r="Q392" s="429" t="s">
        <v>65</v>
      </c>
      <c r="R392" s="423">
        <f>IF(Таблица68[[#This Row],[Столбец2]]="A",1,IF(Таблица68[[#This Row],[Столбец2]]="B",2,IF(Таблица68[[#This Row],[Столбец2]]="C",3)))</f>
        <v>3</v>
      </c>
      <c r="S392" s="430" t="s">
        <v>878</v>
      </c>
    </row>
    <row r="393" spans="1:19" ht="25">
      <c r="A393" s="459" t="s">
        <v>401</v>
      </c>
      <c r="B393" s="422" t="s">
        <v>1275</v>
      </c>
      <c r="C393" s="422" t="s">
        <v>1708</v>
      </c>
      <c r="D393" s="437" t="s">
        <v>1700</v>
      </c>
      <c r="E393" s="437" t="str">
        <f>RIGHT(Таблица68[[#This Row],[Полное  наименование]],19)</f>
        <v>FIA 125 G STR PN 52</v>
      </c>
      <c r="F393" s="437" t="s">
        <v>257</v>
      </c>
      <c r="G393" s="437">
        <v>125</v>
      </c>
      <c r="H393" s="423">
        <v>52</v>
      </c>
      <c r="I393" s="423" t="s">
        <v>346</v>
      </c>
      <c r="J393" s="423" t="s">
        <v>924</v>
      </c>
      <c r="K393" s="424" t="s">
        <v>1681</v>
      </c>
      <c r="L393" s="462"/>
      <c r="M393" s="425">
        <v>435000</v>
      </c>
      <c r="N393" s="425">
        <f>M393*НДС!$A$1</f>
        <v>504599.99999999994</v>
      </c>
      <c r="O393" s="426" t="s">
        <v>70</v>
      </c>
      <c r="Q393" s="429" t="s">
        <v>65</v>
      </c>
      <c r="R393" s="423">
        <f>IF(Таблица68[[#This Row],[Столбец2]]="A",1,IF(Таблица68[[#This Row],[Столбец2]]="B",2,IF(Таблица68[[#This Row],[Столбец2]]="C",3)))</f>
        <v>3</v>
      </c>
      <c r="S393" s="430" t="s">
        <v>878</v>
      </c>
    </row>
    <row r="394" spans="1:19" ht="25">
      <c r="A394" s="459" t="s">
        <v>443</v>
      </c>
      <c r="B394" s="422" t="s">
        <v>1275</v>
      </c>
      <c r="C394" s="422" t="s">
        <v>1709</v>
      </c>
      <c r="D394" s="437" t="s">
        <v>1700</v>
      </c>
      <c r="E394" s="437" t="str">
        <f>RIGHT(Таблица68[[#This Row],[Полное  наименование]],19)</f>
        <v>FIA 125 G ANG PN 52</v>
      </c>
      <c r="F394" s="437" t="s">
        <v>267</v>
      </c>
      <c r="G394" s="437">
        <v>125</v>
      </c>
      <c r="H394" s="423">
        <v>52</v>
      </c>
      <c r="I394" s="423" t="s">
        <v>346</v>
      </c>
      <c r="J394" s="423" t="s">
        <v>924</v>
      </c>
      <c r="K394" s="424" t="s">
        <v>1681</v>
      </c>
      <c r="L394" s="462"/>
      <c r="M394" s="425">
        <v>435000</v>
      </c>
      <c r="N394" s="425">
        <f>M394*НДС!$A$1</f>
        <v>504599.99999999994</v>
      </c>
      <c r="O394" s="426" t="s">
        <v>70</v>
      </c>
      <c r="Q394" s="429" t="s">
        <v>65</v>
      </c>
      <c r="R394" s="423">
        <f>IF(Таблица68[[#This Row],[Столбец2]]="A",1,IF(Таблица68[[#This Row],[Столбец2]]="B",2,IF(Таблица68[[#This Row],[Столбец2]]="C",3)))</f>
        <v>3</v>
      </c>
      <c r="S394" s="430" t="s">
        <v>878</v>
      </c>
    </row>
    <row r="395" spans="1:19" ht="25">
      <c r="A395" s="459" t="s">
        <v>409</v>
      </c>
      <c r="B395" s="422" t="s">
        <v>1275</v>
      </c>
      <c r="C395" s="422" t="s">
        <v>1710</v>
      </c>
      <c r="D395" s="437" t="s">
        <v>1700</v>
      </c>
      <c r="E395" s="437" t="str">
        <f>RIGHT(Таблица68[[#This Row],[Полное  наименование]],19)</f>
        <v>FIA 150 G STR PN 52</v>
      </c>
      <c r="F395" s="437" t="s">
        <v>257</v>
      </c>
      <c r="G395" s="437">
        <v>150</v>
      </c>
      <c r="H395" s="423">
        <v>52</v>
      </c>
      <c r="I395" s="423" t="s">
        <v>346</v>
      </c>
      <c r="J395" s="423" t="s">
        <v>924</v>
      </c>
      <c r="K395" s="424" t="s">
        <v>1681</v>
      </c>
      <c r="L395" s="462"/>
      <c r="M395" s="425">
        <v>594000</v>
      </c>
      <c r="N395" s="425">
        <f>M395*НДС!$A$1</f>
        <v>689040</v>
      </c>
      <c r="O395" s="426" t="s">
        <v>70</v>
      </c>
      <c r="Q395" s="429" t="s">
        <v>65</v>
      </c>
      <c r="R395" s="423">
        <f>IF(Таблица68[[#This Row],[Столбец2]]="A",1,IF(Таблица68[[#This Row],[Столбец2]]="B",2,IF(Таблица68[[#This Row],[Столбец2]]="C",3)))</f>
        <v>3</v>
      </c>
      <c r="S395" s="430" t="s">
        <v>878</v>
      </c>
    </row>
    <row r="396" spans="1:19" ht="25">
      <c r="A396" s="459" t="s">
        <v>447</v>
      </c>
      <c r="B396" s="422" t="s">
        <v>1275</v>
      </c>
      <c r="C396" s="422" t="s">
        <v>1711</v>
      </c>
      <c r="D396" s="437" t="s">
        <v>1700</v>
      </c>
      <c r="E396" s="437" t="str">
        <f>RIGHT(Таблица68[[#This Row],[Полное  наименование]],19)</f>
        <v>FIA 150 G ANG PN 52</v>
      </c>
      <c r="F396" s="437" t="s">
        <v>267</v>
      </c>
      <c r="G396" s="437">
        <v>150</v>
      </c>
      <c r="H396" s="423">
        <v>52</v>
      </c>
      <c r="I396" s="423" t="s">
        <v>346</v>
      </c>
      <c r="J396" s="423" t="s">
        <v>924</v>
      </c>
      <c r="K396" s="424" t="s">
        <v>1681</v>
      </c>
      <c r="L396" s="462"/>
      <c r="M396" s="425">
        <v>594000</v>
      </c>
      <c r="N396" s="425">
        <f>M396*НДС!$A$1</f>
        <v>689040</v>
      </c>
      <c r="O396" s="426" t="s">
        <v>70</v>
      </c>
      <c r="Q396" s="429" t="s">
        <v>65</v>
      </c>
      <c r="R396" s="423">
        <f>IF(Таблица68[[#This Row],[Столбец2]]="A",1,IF(Таблица68[[#This Row],[Столбец2]]="B",2,IF(Таблица68[[#This Row],[Столбец2]]="C",3)))</f>
        <v>3</v>
      </c>
      <c r="S396" s="430" t="s">
        <v>878</v>
      </c>
    </row>
    <row r="397" spans="1:19" ht="25">
      <c r="A397" s="459" t="s">
        <v>289</v>
      </c>
      <c r="B397" s="422" t="s">
        <v>1159</v>
      </c>
      <c r="C397" s="422" t="s">
        <v>1712</v>
      </c>
      <c r="D397" s="437" t="s">
        <v>1713</v>
      </c>
      <c r="E397" s="437" t="str">
        <f>RIGHT(Таблица68[[#This Row],[Полное  наименование]],19)</f>
        <v>CHV 100 G STR PN 40</v>
      </c>
      <c r="F397" s="437" t="s">
        <v>257</v>
      </c>
      <c r="G397" s="437">
        <v>100</v>
      </c>
      <c r="H397" s="423">
        <v>40</v>
      </c>
      <c r="I397" s="423" t="s">
        <v>346</v>
      </c>
      <c r="J397" s="423" t="s">
        <v>924</v>
      </c>
      <c r="K397" s="424" t="s">
        <v>1681</v>
      </c>
      <c r="L397" s="462"/>
      <c r="M397" s="425">
        <v>234000</v>
      </c>
      <c r="N397" s="425">
        <f>M397*НДС!$A$1</f>
        <v>271440</v>
      </c>
      <c r="O397" s="426" t="s">
        <v>70</v>
      </c>
      <c r="Q397" s="429" t="s">
        <v>65</v>
      </c>
      <c r="R397" s="423">
        <f>IF(Таблица68[[#This Row],[Столбец2]]="A",1,IF(Таблица68[[#This Row],[Столбец2]]="B",2,IF(Таблица68[[#This Row],[Столбец2]]="C",3)))</f>
        <v>3</v>
      </c>
      <c r="S397" s="430" t="s">
        <v>878</v>
      </c>
    </row>
    <row r="398" spans="1:19" ht="25">
      <c r="A398" s="459" t="s">
        <v>310</v>
      </c>
      <c r="B398" s="422" t="s">
        <v>1159</v>
      </c>
      <c r="C398" s="422" t="s">
        <v>1714</v>
      </c>
      <c r="D398" s="437" t="s">
        <v>1713</v>
      </c>
      <c r="E398" s="437" t="str">
        <f>RIGHT(Таблица68[[#This Row],[Полное  наименование]],19)</f>
        <v>CHV 100 G ANG PN 40</v>
      </c>
      <c r="F398" s="437" t="s">
        <v>267</v>
      </c>
      <c r="G398" s="437">
        <v>100</v>
      </c>
      <c r="H398" s="423">
        <v>40</v>
      </c>
      <c r="I398" s="423" t="s">
        <v>346</v>
      </c>
      <c r="J398" s="423" t="s">
        <v>924</v>
      </c>
      <c r="K398" s="424" t="s">
        <v>1681</v>
      </c>
      <c r="L398" s="462"/>
      <c r="M398" s="425">
        <v>234000</v>
      </c>
      <c r="N398" s="425">
        <f>M398*НДС!$A$1</f>
        <v>271440</v>
      </c>
      <c r="O398" s="426" t="s">
        <v>70</v>
      </c>
      <c r="Q398" s="429" t="s">
        <v>65</v>
      </c>
      <c r="R398" s="423">
        <f>IF(Таблица68[[#This Row],[Столбец2]]="A",1,IF(Таблица68[[#This Row],[Столбец2]]="B",2,IF(Таблица68[[#This Row],[Столбец2]]="C",3)))</f>
        <v>3</v>
      </c>
      <c r="S398" s="430" t="s">
        <v>878</v>
      </c>
    </row>
    <row r="399" spans="1:19" ht="25">
      <c r="A399" s="459" t="s">
        <v>293</v>
      </c>
      <c r="B399" s="422" t="s">
        <v>1159</v>
      </c>
      <c r="C399" s="422" t="s">
        <v>1715</v>
      </c>
      <c r="D399" s="437" t="s">
        <v>1713</v>
      </c>
      <c r="E399" s="437" t="str">
        <f>RIGHT(Таблица68[[#This Row],[Полное  наименование]],19)</f>
        <v>CHV 125 G STR PN 40</v>
      </c>
      <c r="F399" s="437" t="s">
        <v>257</v>
      </c>
      <c r="G399" s="437">
        <v>125</v>
      </c>
      <c r="H399" s="423">
        <v>40</v>
      </c>
      <c r="I399" s="423" t="s">
        <v>346</v>
      </c>
      <c r="J399" s="423" t="s">
        <v>924</v>
      </c>
      <c r="K399" s="424" t="s">
        <v>1681</v>
      </c>
      <c r="L399" s="462"/>
      <c r="M399" s="425">
        <v>408000</v>
      </c>
      <c r="N399" s="425">
        <f>M399*НДС!$A$1</f>
        <v>473279.99999999994</v>
      </c>
      <c r="O399" s="426" t="s">
        <v>70</v>
      </c>
      <c r="Q399" s="429" t="s">
        <v>65</v>
      </c>
      <c r="R399" s="423">
        <f>IF(Таблица68[[#This Row],[Столбец2]]="A",1,IF(Таблица68[[#This Row],[Столбец2]]="B",2,IF(Таблица68[[#This Row],[Столбец2]]="C",3)))</f>
        <v>3</v>
      </c>
      <c r="S399" s="430" t="s">
        <v>878</v>
      </c>
    </row>
    <row r="400" spans="1:19" ht="25">
      <c r="A400" s="459" t="s">
        <v>314</v>
      </c>
      <c r="B400" s="422" t="s">
        <v>1159</v>
      </c>
      <c r="C400" s="422" t="s">
        <v>1716</v>
      </c>
      <c r="D400" s="437" t="s">
        <v>1713</v>
      </c>
      <c r="E400" s="437" t="str">
        <f>RIGHT(Таблица68[[#This Row],[Полное  наименование]],19)</f>
        <v>CHV 125 G ANG PN 40</v>
      </c>
      <c r="F400" s="437" t="s">
        <v>267</v>
      </c>
      <c r="G400" s="437">
        <v>125</v>
      </c>
      <c r="H400" s="423">
        <v>40</v>
      </c>
      <c r="I400" s="423" t="s">
        <v>346</v>
      </c>
      <c r="J400" s="423" t="s">
        <v>924</v>
      </c>
      <c r="K400" s="424" t="s">
        <v>1681</v>
      </c>
      <c r="L400" s="462"/>
      <c r="M400" s="425">
        <v>408000</v>
      </c>
      <c r="N400" s="425">
        <f>M400*НДС!$A$1</f>
        <v>473279.99999999994</v>
      </c>
      <c r="O400" s="426" t="s">
        <v>70</v>
      </c>
      <c r="Q400" s="429" t="s">
        <v>65</v>
      </c>
      <c r="R400" s="423">
        <f>IF(Таблица68[[#This Row],[Столбец2]]="A",1,IF(Таблица68[[#This Row],[Столбец2]]="B",2,IF(Таблица68[[#This Row],[Столбец2]]="C",3)))</f>
        <v>3</v>
      </c>
      <c r="S400" s="430" t="s">
        <v>878</v>
      </c>
    </row>
    <row r="401" spans="1:19" ht="25">
      <c r="A401" s="459" t="s">
        <v>297</v>
      </c>
      <c r="B401" s="422" t="s">
        <v>1159</v>
      </c>
      <c r="C401" s="422" t="s">
        <v>1717</v>
      </c>
      <c r="D401" s="437" t="s">
        <v>1713</v>
      </c>
      <c r="E401" s="437" t="str">
        <f>RIGHT(Таблица68[[#This Row],[Полное  наименование]],19)</f>
        <v>CHV 150 G STR PN 40</v>
      </c>
      <c r="F401" s="437" t="s">
        <v>257</v>
      </c>
      <c r="G401" s="437">
        <v>150</v>
      </c>
      <c r="H401" s="423">
        <v>40</v>
      </c>
      <c r="I401" s="423" t="s">
        <v>346</v>
      </c>
      <c r="J401" s="423" t="s">
        <v>924</v>
      </c>
      <c r="K401" s="424" t="s">
        <v>1681</v>
      </c>
      <c r="L401" s="462"/>
      <c r="M401" s="425">
        <v>600000</v>
      </c>
      <c r="N401" s="425">
        <f>M401*НДС!$A$1</f>
        <v>696000</v>
      </c>
      <c r="O401" s="426" t="s">
        <v>70</v>
      </c>
      <c r="Q401" s="429" t="s">
        <v>65</v>
      </c>
      <c r="R401" s="423">
        <f>IF(Таблица68[[#This Row],[Столбец2]]="A",1,IF(Таблица68[[#This Row],[Столбец2]]="B",2,IF(Таблица68[[#This Row],[Столбец2]]="C",3)))</f>
        <v>3</v>
      </c>
      <c r="S401" s="430" t="s">
        <v>878</v>
      </c>
    </row>
    <row r="402" spans="1:19" ht="25">
      <c r="A402" s="459" t="s">
        <v>318</v>
      </c>
      <c r="B402" s="422" t="s">
        <v>1159</v>
      </c>
      <c r="C402" s="422" t="s">
        <v>1718</v>
      </c>
      <c r="D402" s="437" t="s">
        <v>1713</v>
      </c>
      <c r="E402" s="437" t="str">
        <f>RIGHT(Таблица68[[#This Row],[Полное  наименование]],19)</f>
        <v>CHV 150 G ANG PN 40</v>
      </c>
      <c r="F402" s="437" t="s">
        <v>267</v>
      </c>
      <c r="G402" s="437">
        <v>150</v>
      </c>
      <c r="H402" s="423">
        <v>40</v>
      </c>
      <c r="I402" s="423" t="s">
        <v>346</v>
      </c>
      <c r="J402" s="423" t="s">
        <v>924</v>
      </c>
      <c r="K402" s="424" t="s">
        <v>1681</v>
      </c>
      <c r="L402" s="462"/>
      <c r="M402" s="425">
        <v>600000</v>
      </c>
      <c r="N402" s="425">
        <f>M402*НДС!$A$1</f>
        <v>696000</v>
      </c>
      <c r="O402" s="426" t="s">
        <v>70</v>
      </c>
      <c r="Q402" s="429" t="s">
        <v>65</v>
      </c>
      <c r="R402" s="423">
        <f>IF(Таблица68[[#This Row],[Столбец2]]="A",1,IF(Таблица68[[#This Row],[Столбец2]]="B",2,IF(Таблица68[[#This Row],[Столбец2]]="C",3)))</f>
        <v>3</v>
      </c>
      <c r="S402" s="430" t="s">
        <v>878</v>
      </c>
    </row>
    <row r="403" spans="1:19" ht="25">
      <c r="A403" s="459" t="s">
        <v>287</v>
      </c>
      <c r="B403" s="422" t="s">
        <v>1159</v>
      </c>
      <c r="C403" s="422" t="s">
        <v>1719</v>
      </c>
      <c r="D403" s="437" t="s">
        <v>1713</v>
      </c>
      <c r="E403" s="437" t="str">
        <f>RIGHT(Таблица68[[#This Row],[Полное  наименование]],19)</f>
        <v>CHV 100 G STR PN 52</v>
      </c>
      <c r="F403" s="437" t="s">
        <v>257</v>
      </c>
      <c r="G403" s="437">
        <v>100</v>
      </c>
      <c r="H403" s="423">
        <v>52</v>
      </c>
      <c r="I403" s="423" t="s">
        <v>346</v>
      </c>
      <c r="J403" s="423" t="s">
        <v>924</v>
      </c>
      <c r="K403" s="424" t="s">
        <v>1681</v>
      </c>
      <c r="L403" s="462"/>
      <c r="M403" s="425">
        <v>276000</v>
      </c>
      <c r="N403" s="425">
        <f>M403*НДС!$A$1</f>
        <v>320160</v>
      </c>
      <c r="O403" s="426" t="s">
        <v>70</v>
      </c>
      <c r="Q403" s="429" t="s">
        <v>65</v>
      </c>
      <c r="R403" s="423">
        <f>IF(Таблица68[[#This Row],[Столбец2]]="A",1,IF(Таблица68[[#This Row],[Столбец2]]="B",2,IF(Таблица68[[#This Row],[Столбец2]]="C",3)))</f>
        <v>3</v>
      </c>
      <c r="S403" s="430" t="s">
        <v>878</v>
      </c>
    </row>
    <row r="404" spans="1:19" ht="25">
      <c r="A404" s="459" t="s">
        <v>308</v>
      </c>
      <c r="B404" s="422" t="s">
        <v>1159</v>
      </c>
      <c r="C404" s="422" t="s">
        <v>1720</v>
      </c>
      <c r="D404" s="437" t="s">
        <v>1713</v>
      </c>
      <c r="E404" s="437" t="str">
        <f>RIGHT(Таблица68[[#This Row],[Полное  наименование]],19)</f>
        <v>CHV 100 G ANG PN 52</v>
      </c>
      <c r="F404" s="437" t="s">
        <v>267</v>
      </c>
      <c r="G404" s="437">
        <v>100</v>
      </c>
      <c r="H404" s="423">
        <v>52</v>
      </c>
      <c r="I404" s="423" t="s">
        <v>346</v>
      </c>
      <c r="J404" s="423" t="s">
        <v>924</v>
      </c>
      <c r="K404" s="424" t="s">
        <v>1681</v>
      </c>
      <c r="L404" s="462"/>
      <c r="M404" s="425">
        <v>276000</v>
      </c>
      <c r="N404" s="425">
        <f>M404*НДС!$A$1</f>
        <v>320160</v>
      </c>
      <c r="O404" s="426" t="s">
        <v>70</v>
      </c>
      <c r="Q404" s="429" t="s">
        <v>65</v>
      </c>
      <c r="R404" s="423">
        <f>IF(Таблица68[[#This Row],[Столбец2]]="A",1,IF(Таблица68[[#This Row],[Столбец2]]="B",2,IF(Таблица68[[#This Row],[Столбец2]]="C",3)))</f>
        <v>3</v>
      </c>
      <c r="S404" s="430" t="s">
        <v>878</v>
      </c>
    </row>
    <row r="405" spans="1:19" ht="25">
      <c r="A405" s="459" t="s">
        <v>291</v>
      </c>
      <c r="B405" s="422" t="s">
        <v>1159</v>
      </c>
      <c r="C405" s="422" t="s">
        <v>1721</v>
      </c>
      <c r="D405" s="437" t="s">
        <v>1713</v>
      </c>
      <c r="E405" s="437" t="str">
        <f>RIGHT(Таблица68[[#This Row],[Полное  наименование]],19)</f>
        <v>CHV 125 G STR PN 52</v>
      </c>
      <c r="F405" s="437" t="s">
        <v>257</v>
      </c>
      <c r="G405" s="437">
        <v>125</v>
      </c>
      <c r="H405" s="423">
        <v>52</v>
      </c>
      <c r="I405" s="423" t="s">
        <v>346</v>
      </c>
      <c r="J405" s="423" t="s">
        <v>924</v>
      </c>
      <c r="K405" s="424" t="s">
        <v>1681</v>
      </c>
      <c r="L405" s="462"/>
      <c r="M405" s="425">
        <v>522000</v>
      </c>
      <c r="N405" s="425">
        <f>M405*НДС!$A$1</f>
        <v>605520</v>
      </c>
      <c r="O405" s="426" t="s">
        <v>70</v>
      </c>
      <c r="Q405" s="429" t="s">
        <v>65</v>
      </c>
      <c r="R405" s="423">
        <f>IF(Таблица68[[#This Row],[Столбец2]]="A",1,IF(Таблица68[[#This Row],[Столбец2]]="B",2,IF(Таблица68[[#This Row],[Столбец2]]="C",3)))</f>
        <v>3</v>
      </c>
      <c r="S405" s="430" t="s">
        <v>878</v>
      </c>
    </row>
    <row r="406" spans="1:19" ht="25">
      <c r="A406" s="459" t="s">
        <v>312</v>
      </c>
      <c r="B406" s="422" t="s">
        <v>1159</v>
      </c>
      <c r="C406" s="422" t="s">
        <v>1722</v>
      </c>
      <c r="D406" s="437" t="s">
        <v>1713</v>
      </c>
      <c r="E406" s="437" t="str">
        <f>RIGHT(Таблица68[[#This Row],[Полное  наименование]],19)</f>
        <v>CHV 125 G ANG PN 52</v>
      </c>
      <c r="F406" s="437" t="s">
        <v>267</v>
      </c>
      <c r="G406" s="437">
        <v>125</v>
      </c>
      <c r="H406" s="423">
        <v>52</v>
      </c>
      <c r="I406" s="423" t="s">
        <v>346</v>
      </c>
      <c r="J406" s="423" t="s">
        <v>924</v>
      </c>
      <c r="K406" s="424" t="s">
        <v>1681</v>
      </c>
      <c r="L406" s="462"/>
      <c r="M406" s="425">
        <v>522000</v>
      </c>
      <c r="N406" s="425">
        <f>M406*НДС!$A$1</f>
        <v>605520</v>
      </c>
      <c r="O406" s="426" t="s">
        <v>70</v>
      </c>
      <c r="Q406" s="429" t="s">
        <v>65</v>
      </c>
      <c r="R406" s="423">
        <f>IF(Таблица68[[#This Row],[Столбец2]]="A",1,IF(Таблица68[[#This Row],[Столбец2]]="B",2,IF(Таблица68[[#This Row],[Столбец2]]="C",3)))</f>
        <v>3</v>
      </c>
      <c r="S406" s="430" t="s">
        <v>878</v>
      </c>
    </row>
    <row r="407" spans="1:19" ht="25">
      <c r="A407" s="459" t="s">
        <v>295</v>
      </c>
      <c r="B407" s="422" t="s">
        <v>1159</v>
      </c>
      <c r="C407" s="422" t="s">
        <v>1723</v>
      </c>
      <c r="D407" s="437" t="s">
        <v>1713</v>
      </c>
      <c r="E407" s="437" t="str">
        <f>RIGHT(Таблица68[[#This Row],[Полное  наименование]],19)</f>
        <v>CHV 150 G STR PN 52</v>
      </c>
      <c r="F407" s="437" t="s">
        <v>257</v>
      </c>
      <c r="G407" s="437">
        <v>150</v>
      </c>
      <c r="H407" s="423">
        <v>52</v>
      </c>
      <c r="I407" s="423" t="s">
        <v>346</v>
      </c>
      <c r="J407" s="423" t="s">
        <v>924</v>
      </c>
      <c r="K407" s="424" t="s">
        <v>1681</v>
      </c>
      <c r="L407" s="462"/>
      <c r="M407" s="425">
        <v>774000</v>
      </c>
      <c r="N407" s="425">
        <f>M407*НДС!$A$1</f>
        <v>897839.99999999988</v>
      </c>
      <c r="O407" s="426" t="s">
        <v>70</v>
      </c>
      <c r="Q407" s="429" t="s">
        <v>65</v>
      </c>
      <c r="R407" s="423">
        <f>IF(Таблица68[[#This Row],[Столбец2]]="A",1,IF(Таблица68[[#This Row],[Столбец2]]="B",2,IF(Таблица68[[#This Row],[Столбец2]]="C",3)))</f>
        <v>3</v>
      </c>
      <c r="S407" s="430" t="s">
        <v>878</v>
      </c>
    </row>
    <row r="408" spans="1:19" ht="25">
      <c r="A408" s="459" t="s">
        <v>316</v>
      </c>
      <c r="B408" s="422" t="s">
        <v>1159</v>
      </c>
      <c r="C408" s="422" t="s">
        <v>1724</v>
      </c>
      <c r="D408" s="437" t="s">
        <v>1713</v>
      </c>
      <c r="E408" s="437" t="str">
        <f>RIGHT(Таблица68[[#This Row],[Полное  наименование]],19)</f>
        <v>CHV 150 G ANG PN 52</v>
      </c>
      <c r="F408" s="437" t="s">
        <v>267</v>
      </c>
      <c r="G408" s="437">
        <v>150</v>
      </c>
      <c r="H408" s="423">
        <v>52</v>
      </c>
      <c r="I408" s="423" t="s">
        <v>346</v>
      </c>
      <c r="J408" s="423" t="s">
        <v>924</v>
      </c>
      <c r="K408" s="424" t="s">
        <v>1681</v>
      </c>
      <c r="L408" s="462"/>
      <c r="M408" s="425">
        <v>774000</v>
      </c>
      <c r="N408" s="425">
        <f>M408*НДС!$A$1</f>
        <v>897839.99999999988</v>
      </c>
      <c r="O408" s="426" t="s">
        <v>70</v>
      </c>
      <c r="Q408" s="429" t="s">
        <v>65</v>
      </c>
      <c r="R408" s="423">
        <f>IF(Таблица68[[#This Row],[Столбец2]]="A",1,IF(Таблица68[[#This Row],[Столбец2]]="B",2,IF(Таблица68[[#This Row],[Столбец2]]="C",3)))</f>
        <v>3</v>
      </c>
      <c r="S408" s="430" t="s">
        <v>878</v>
      </c>
    </row>
    <row r="409" spans="1:19" ht="25">
      <c r="A409" s="459" t="s">
        <v>334</v>
      </c>
      <c r="B409" s="422" t="s">
        <v>1217</v>
      </c>
      <c r="C409" s="422" t="s">
        <v>1725</v>
      </c>
      <c r="D409" s="437" t="s">
        <v>1726</v>
      </c>
      <c r="E409" s="437" t="str">
        <f>RIGHT(Таблица68[[#This Row],[Полное  наименование]],19)</f>
        <v>SCA 100 G STR PN 40</v>
      </c>
      <c r="F409" s="437" t="s">
        <v>257</v>
      </c>
      <c r="G409" s="437">
        <v>100</v>
      </c>
      <c r="H409" s="423">
        <v>40</v>
      </c>
      <c r="I409" s="423" t="s">
        <v>346</v>
      </c>
      <c r="J409" s="423" t="s">
        <v>924</v>
      </c>
      <c r="K409" s="424" t="s">
        <v>1681</v>
      </c>
      <c r="L409" s="462"/>
      <c r="M409" s="425">
        <v>252000</v>
      </c>
      <c r="N409" s="425">
        <f>M409*НДС!$A$1</f>
        <v>292320</v>
      </c>
      <c r="O409" s="426" t="s">
        <v>70</v>
      </c>
      <c r="Q409" s="429" t="s">
        <v>65</v>
      </c>
      <c r="R409" s="423">
        <f>IF(Таблица68[[#This Row],[Столбец2]]="A",1,IF(Таблица68[[#This Row],[Столбец2]]="B",2,IF(Таблица68[[#This Row],[Столбец2]]="C",3)))</f>
        <v>3</v>
      </c>
      <c r="S409" s="430" t="s">
        <v>878</v>
      </c>
    </row>
    <row r="410" spans="1:19" ht="25">
      <c r="A410" s="459" t="s">
        <v>356</v>
      </c>
      <c r="B410" s="422" t="s">
        <v>1217</v>
      </c>
      <c r="C410" s="422" t="s">
        <v>1727</v>
      </c>
      <c r="D410" s="437" t="s">
        <v>1726</v>
      </c>
      <c r="E410" s="437" t="str">
        <f>RIGHT(Таблица68[[#This Row],[Полное  наименование]],19)</f>
        <v>SCA 100 G ANG PN 40</v>
      </c>
      <c r="F410" s="437" t="s">
        <v>267</v>
      </c>
      <c r="G410" s="437">
        <v>100</v>
      </c>
      <c r="H410" s="423">
        <v>40</v>
      </c>
      <c r="I410" s="423" t="s">
        <v>346</v>
      </c>
      <c r="J410" s="423" t="s">
        <v>924</v>
      </c>
      <c r="K410" s="424" t="s">
        <v>1681</v>
      </c>
      <c r="L410" s="462"/>
      <c r="M410" s="425">
        <v>252000</v>
      </c>
      <c r="N410" s="425">
        <f>M410*НДС!$A$1</f>
        <v>292320</v>
      </c>
      <c r="O410" s="426" t="s">
        <v>70</v>
      </c>
      <c r="Q410" s="429" t="s">
        <v>65</v>
      </c>
      <c r="R410" s="423">
        <f>IF(Таблица68[[#This Row],[Столбец2]]="A",1,IF(Таблица68[[#This Row],[Столбец2]]="B",2,IF(Таблица68[[#This Row],[Столбец2]]="C",3)))</f>
        <v>3</v>
      </c>
      <c r="S410" s="430" t="s">
        <v>878</v>
      </c>
    </row>
    <row r="411" spans="1:19" ht="25">
      <c r="A411" s="459" t="s">
        <v>338</v>
      </c>
      <c r="B411" s="422" t="s">
        <v>1217</v>
      </c>
      <c r="C411" s="422" t="s">
        <v>1728</v>
      </c>
      <c r="D411" s="437" t="s">
        <v>1726</v>
      </c>
      <c r="E411" s="437" t="str">
        <f>RIGHT(Таблица68[[#This Row],[Полное  наименование]],19)</f>
        <v>SCA 125 G STR PN 40</v>
      </c>
      <c r="F411" s="437" t="s">
        <v>257</v>
      </c>
      <c r="G411" s="437">
        <v>125</v>
      </c>
      <c r="H411" s="423">
        <v>40</v>
      </c>
      <c r="I411" s="423" t="s">
        <v>346</v>
      </c>
      <c r="J411" s="423" t="s">
        <v>924</v>
      </c>
      <c r="K411" s="424" t="s">
        <v>1681</v>
      </c>
      <c r="L411" s="462"/>
      <c r="M411" s="425">
        <v>498000</v>
      </c>
      <c r="N411" s="425">
        <f>M411*НДС!$A$1</f>
        <v>577680</v>
      </c>
      <c r="O411" s="426" t="s">
        <v>70</v>
      </c>
      <c r="Q411" s="429" t="s">
        <v>65</v>
      </c>
      <c r="R411" s="423">
        <f>IF(Таблица68[[#This Row],[Столбец2]]="A",1,IF(Таблица68[[#This Row],[Столбец2]]="B",2,IF(Таблица68[[#This Row],[Столбец2]]="C",3)))</f>
        <v>3</v>
      </c>
      <c r="S411" s="430" t="s">
        <v>878</v>
      </c>
    </row>
    <row r="412" spans="1:19" ht="25">
      <c r="A412" s="459" t="s">
        <v>360</v>
      </c>
      <c r="B412" s="422" t="s">
        <v>1217</v>
      </c>
      <c r="C412" s="422" t="s">
        <v>1729</v>
      </c>
      <c r="D412" s="437" t="s">
        <v>1726</v>
      </c>
      <c r="E412" s="437" t="str">
        <f>RIGHT(Таблица68[[#This Row],[Полное  наименование]],19)</f>
        <v>SCA 125 G ANG PN 40</v>
      </c>
      <c r="F412" s="437" t="s">
        <v>267</v>
      </c>
      <c r="G412" s="437">
        <v>125</v>
      </c>
      <c r="H412" s="423">
        <v>40</v>
      </c>
      <c r="I412" s="423" t="s">
        <v>346</v>
      </c>
      <c r="J412" s="423" t="s">
        <v>924</v>
      </c>
      <c r="K412" s="424" t="s">
        <v>1681</v>
      </c>
      <c r="L412" s="462"/>
      <c r="M412" s="425">
        <v>498000</v>
      </c>
      <c r="N412" s="425">
        <f>M412*НДС!$A$1</f>
        <v>577680</v>
      </c>
      <c r="O412" s="426" t="s">
        <v>70</v>
      </c>
      <c r="Q412" s="429" t="s">
        <v>65</v>
      </c>
      <c r="R412" s="423">
        <f>IF(Таблица68[[#This Row],[Столбец2]]="A",1,IF(Таблица68[[#This Row],[Столбец2]]="B",2,IF(Таблица68[[#This Row],[Столбец2]]="C",3)))</f>
        <v>3</v>
      </c>
      <c r="S412" s="430" t="s">
        <v>878</v>
      </c>
    </row>
    <row r="413" spans="1:19" ht="25">
      <c r="A413" s="459" t="s">
        <v>342</v>
      </c>
      <c r="B413" s="422" t="s">
        <v>1217</v>
      </c>
      <c r="C413" s="422" t="s">
        <v>1730</v>
      </c>
      <c r="D413" s="437" t="s">
        <v>1726</v>
      </c>
      <c r="E413" s="437" t="str">
        <f>RIGHT(Таблица68[[#This Row],[Полное  наименование]],19)</f>
        <v>SCA 150 G STR PN 40</v>
      </c>
      <c r="F413" s="437" t="s">
        <v>257</v>
      </c>
      <c r="G413" s="437">
        <v>150</v>
      </c>
      <c r="H413" s="423">
        <v>40</v>
      </c>
      <c r="I413" s="423" t="s">
        <v>346</v>
      </c>
      <c r="J413" s="423" t="s">
        <v>924</v>
      </c>
      <c r="K413" s="424" t="s">
        <v>1681</v>
      </c>
      <c r="L413" s="462"/>
      <c r="M413" s="425">
        <v>720000</v>
      </c>
      <c r="N413" s="425">
        <f>M413*НДС!$A$1</f>
        <v>835200</v>
      </c>
      <c r="O413" s="426" t="s">
        <v>70</v>
      </c>
      <c r="Q413" s="429" t="s">
        <v>65</v>
      </c>
      <c r="R413" s="423">
        <f>IF(Таблица68[[#This Row],[Столбец2]]="A",1,IF(Таблица68[[#This Row],[Столбец2]]="B",2,IF(Таблица68[[#This Row],[Столбец2]]="C",3)))</f>
        <v>3</v>
      </c>
      <c r="S413" s="430" t="s">
        <v>878</v>
      </c>
    </row>
    <row r="414" spans="1:19" ht="25">
      <c r="A414" s="459" t="s">
        <v>364</v>
      </c>
      <c r="B414" s="422" t="s">
        <v>1217</v>
      </c>
      <c r="C414" s="422" t="s">
        <v>1731</v>
      </c>
      <c r="D414" s="437" t="s">
        <v>1726</v>
      </c>
      <c r="E414" s="437" t="str">
        <f>RIGHT(Таблица68[[#This Row],[Полное  наименование]],19)</f>
        <v>SCA 150 G ANG PN 40</v>
      </c>
      <c r="F414" s="437" t="s">
        <v>267</v>
      </c>
      <c r="G414" s="437">
        <v>150</v>
      </c>
      <c r="H414" s="423">
        <v>40</v>
      </c>
      <c r="I414" s="423" t="s">
        <v>346</v>
      </c>
      <c r="J414" s="423" t="s">
        <v>924</v>
      </c>
      <c r="K414" s="424" t="s">
        <v>1681</v>
      </c>
      <c r="L414" s="462"/>
      <c r="M414" s="425">
        <v>720000</v>
      </c>
      <c r="N414" s="425">
        <f>M414*НДС!$A$1</f>
        <v>835200</v>
      </c>
      <c r="O414" s="426" t="s">
        <v>70</v>
      </c>
      <c r="Q414" s="429" t="s">
        <v>65</v>
      </c>
      <c r="R414" s="423">
        <f>IF(Таблица68[[#This Row],[Столбец2]]="A",1,IF(Таблица68[[#This Row],[Столбец2]]="B",2,IF(Таблица68[[#This Row],[Столбец2]]="C",3)))</f>
        <v>3</v>
      </c>
      <c r="S414" s="430" t="s">
        <v>878</v>
      </c>
    </row>
    <row r="415" spans="1:19" ht="25">
      <c r="A415" s="459" t="s">
        <v>332</v>
      </c>
      <c r="B415" s="422" t="s">
        <v>1217</v>
      </c>
      <c r="C415" s="422" t="s">
        <v>1732</v>
      </c>
      <c r="D415" s="437" t="s">
        <v>1726</v>
      </c>
      <c r="E415" s="437" t="str">
        <f>RIGHT(Таблица68[[#This Row],[Полное  наименование]],19)</f>
        <v>SCA 100 G STR PN 52</v>
      </c>
      <c r="F415" s="437" t="s">
        <v>257</v>
      </c>
      <c r="G415" s="437">
        <v>100</v>
      </c>
      <c r="H415" s="423">
        <v>52</v>
      </c>
      <c r="I415" s="423" t="s">
        <v>346</v>
      </c>
      <c r="J415" s="423" t="s">
        <v>924</v>
      </c>
      <c r="K415" s="424" t="s">
        <v>1681</v>
      </c>
      <c r="L415" s="462"/>
      <c r="M415" s="425">
        <v>288000</v>
      </c>
      <c r="N415" s="425">
        <f>M415*НДС!$A$1</f>
        <v>334080</v>
      </c>
      <c r="O415" s="426" t="s">
        <v>70</v>
      </c>
      <c r="Q415" s="429" t="s">
        <v>65</v>
      </c>
      <c r="R415" s="423">
        <f>IF(Таблица68[[#This Row],[Столбец2]]="A",1,IF(Таблица68[[#This Row],[Столбец2]]="B",2,IF(Таблица68[[#This Row],[Столбец2]]="C",3)))</f>
        <v>3</v>
      </c>
      <c r="S415" s="430" t="s">
        <v>878</v>
      </c>
    </row>
    <row r="416" spans="1:19" ht="25">
      <c r="A416" s="459" t="s">
        <v>354</v>
      </c>
      <c r="B416" s="422" t="s">
        <v>1217</v>
      </c>
      <c r="C416" s="422" t="s">
        <v>1733</v>
      </c>
      <c r="D416" s="437" t="s">
        <v>1726</v>
      </c>
      <c r="E416" s="437" t="str">
        <f>RIGHT(Таблица68[[#This Row],[Полное  наименование]],19)</f>
        <v>SCA 100 G ANG PN 52</v>
      </c>
      <c r="F416" s="437" t="s">
        <v>267</v>
      </c>
      <c r="G416" s="437">
        <v>100</v>
      </c>
      <c r="H416" s="423">
        <v>52</v>
      </c>
      <c r="I416" s="423" t="s">
        <v>346</v>
      </c>
      <c r="J416" s="423" t="s">
        <v>924</v>
      </c>
      <c r="K416" s="424" t="s">
        <v>1681</v>
      </c>
      <c r="L416" s="462"/>
      <c r="M416" s="425">
        <v>288000</v>
      </c>
      <c r="N416" s="425">
        <f>M416*НДС!$A$1</f>
        <v>334080</v>
      </c>
      <c r="O416" s="426" t="s">
        <v>70</v>
      </c>
      <c r="Q416" s="429" t="s">
        <v>65</v>
      </c>
      <c r="R416" s="423">
        <f>IF(Таблица68[[#This Row],[Столбец2]]="A",1,IF(Таблица68[[#This Row],[Столбец2]]="B",2,IF(Таблица68[[#This Row],[Столбец2]]="C",3)))</f>
        <v>3</v>
      </c>
      <c r="S416" s="430" t="s">
        <v>878</v>
      </c>
    </row>
    <row r="417" spans="1:19" ht="25">
      <c r="A417" s="459" t="s">
        <v>336</v>
      </c>
      <c r="B417" s="422" t="s">
        <v>1217</v>
      </c>
      <c r="C417" s="422" t="s">
        <v>1734</v>
      </c>
      <c r="D417" s="437" t="s">
        <v>1726</v>
      </c>
      <c r="E417" s="437" t="str">
        <f>RIGHT(Таблица68[[#This Row],[Полное  наименование]],19)</f>
        <v>SCA 125 G STR PN 52</v>
      </c>
      <c r="F417" s="437" t="s">
        <v>257</v>
      </c>
      <c r="G417" s="437">
        <v>125</v>
      </c>
      <c r="H417" s="423">
        <v>52</v>
      </c>
      <c r="I417" s="423" t="s">
        <v>346</v>
      </c>
      <c r="J417" s="423" t="s">
        <v>924</v>
      </c>
      <c r="K417" s="424" t="s">
        <v>1681</v>
      </c>
      <c r="L417" s="462"/>
      <c r="M417" s="425">
        <v>594000</v>
      </c>
      <c r="N417" s="425">
        <f>M417*НДС!$A$1</f>
        <v>689040</v>
      </c>
      <c r="O417" s="426" t="s">
        <v>70</v>
      </c>
      <c r="Q417" s="429" t="s">
        <v>65</v>
      </c>
      <c r="R417" s="423">
        <f>IF(Таблица68[[#This Row],[Столбец2]]="A",1,IF(Таблица68[[#This Row],[Столбец2]]="B",2,IF(Таблица68[[#This Row],[Столбец2]]="C",3)))</f>
        <v>3</v>
      </c>
      <c r="S417" s="430" t="s">
        <v>878</v>
      </c>
    </row>
    <row r="418" spans="1:19" ht="25">
      <c r="A418" s="459" t="s">
        <v>358</v>
      </c>
      <c r="B418" s="422" t="s">
        <v>1217</v>
      </c>
      <c r="C418" s="422" t="s">
        <v>1735</v>
      </c>
      <c r="D418" s="437" t="s">
        <v>1726</v>
      </c>
      <c r="E418" s="437" t="str">
        <f>RIGHT(Таблица68[[#This Row],[Полное  наименование]],19)</f>
        <v>SCA 125 G ANG PN 52</v>
      </c>
      <c r="F418" s="437" t="s">
        <v>267</v>
      </c>
      <c r="G418" s="437">
        <v>125</v>
      </c>
      <c r="H418" s="423">
        <v>52</v>
      </c>
      <c r="I418" s="423" t="s">
        <v>346</v>
      </c>
      <c r="J418" s="423" t="s">
        <v>924</v>
      </c>
      <c r="K418" s="424" t="s">
        <v>1681</v>
      </c>
      <c r="L418" s="462"/>
      <c r="M418" s="425">
        <v>594000</v>
      </c>
      <c r="N418" s="425">
        <f>M418*НДС!$A$1</f>
        <v>689040</v>
      </c>
      <c r="O418" s="426" t="s">
        <v>70</v>
      </c>
      <c r="Q418" s="429" t="s">
        <v>65</v>
      </c>
      <c r="R418" s="423">
        <f>IF(Таблица68[[#This Row],[Столбец2]]="A",1,IF(Таблица68[[#This Row],[Столбец2]]="B",2,IF(Таблица68[[#This Row],[Столбец2]]="C",3)))</f>
        <v>3</v>
      </c>
      <c r="S418" s="430" t="s">
        <v>878</v>
      </c>
    </row>
    <row r="419" spans="1:19" ht="25">
      <c r="A419" s="459" t="s">
        <v>340</v>
      </c>
      <c r="B419" s="422" t="s">
        <v>1217</v>
      </c>
      <c r="C419" s="422" t="s">
        <v>1736</v>
      </c>
      <c r="D419" s="423" t="s">
        <v>1726</v>
      </c>
      <c r="E419" s="423" t="str">
        <f>RIGHT(Таблица68[[#This Row],[Полное  наименование]],19)</f>
        <v>SCA 150 G STR PN 52</v>
      </c>
      <c r="F419" s="423" t="s">
        <v>257</v>
      </c>
      <c r="G419" s="423">
        <v>150</v>
      </c>
      <c r="H419" s="423">
        <v>52</v>
      </c>
      <c r="I419" s="423" t="s">
        <v>346</v>
      </c>
      <c r="J419" s="423" t="s">
        <v>924</v>
      </c>
      <c r="K419" s="424" t="s">
        <v>1681</v>
      </c>
      <c r="L419" s="462"/>
      <c r="M419" s="425">
        <v>840000</v>
      </c>
      <c r="N419" s="425">
        <f>M419*НДС!$A$1</f>
        <v>974399.99999999988</v>
      </c>
      <c r="O419" s="426" t="s">
        <v>70</v>
      </c>
      <c r="Q419" s="429" t="s">
        <v>65</v>
      </c>
      <c r="R419" s="423">
        <f>IF(Таблица68[[#This Row],[Столбец2]]="A",1,IF(Таблица68[[#This Row],[Столбец2]]="B",2,IF(Таблица68[[#This Row],[Столбец2]]="C",3)))</f>
        <v>3</v>
      </c>
      <c r="S419" s="430" t="s">
        <v>878</v>
      </c>
    </row>
    <row r="420" spans="1:19" ht="25">
      <c r="A420" s="459" t="s">
        <v>362</v>
      </c>
      <c r="B420" s="422" t="s">
        <v>1217</v>
      </c>
      <c r="C420" s="422" t="s">
        <v>1737</v>
      </c>
      <c r="D420" s="423" t="s">
        <v>1726</v>
      </c>
      <c r="E420" s="423" t="str">
        <f>RIGHT(Таблица68[[#This Row],[Полное  наименование]],19)</f>
        <v>SCA 150 G ANG PN 52</v>
      </c>
      <c r="F420" s="423" t="s">
        <v>267</v>
      </c>
      <c r="G420" s="423">
        <v>150</v>
      </c>
      <c r="H420" s="423">
        <v>52</v>
      </c>
      <c r="I420" s="423" t="s">
        <v>346</v>
      </c>
      <c r="J420" s="423" t="s">
        <v>924</v>
      </c>
      <c r="K420" s="424" t="s">
        <v>1681</v>
      </c>
      <c r="L420" s="462"/>
      <c r="M420" s="425">
        <v>840000</v>
      </c>
      <c r="N420" s="425">
        <f>M420*НДС!$A$1</f>
        <v>974399.99999999988</v>
      </c>
      <c r="O420" s="426" t="s">
        <v>70</v>
      </c>
      <c r="Q420" s="429" t="s">
        <v>65</v>
      </c>
      <c r="R420" s="423">
        <f>IF(Таблица68[[#This Row],[Столбец2]]="A",1,IF(Таблица68[[#This Row],[Столбец2]]="B",2,IF(Таблица68[[#This Row],[Столбец2]]="C",3)))</f>
        <v>3</v>
      </c>
      <c r="S420" s="430" t="s">
        <v>878</v>
      </c>
    </row>
    <row r="421" spans="1:19" ht="28">
      <c r="A421" s="459" t="s">
        <v>560</v>
      </c>
      <c r="B421" s="422" t="s">
        <v>951</v>
      </c>
      <c r="C421" s="422" t="s">
        <v>1738</v>
      </c>
      <c r="D421" s="423" t="s">
        <v>823</v>
      </c>
      <c r="E421" s="423" t="str">
        <f>RIGHT(Таблица68[[#This Row],[Полное  наименование]],7)</f>
        <v>PM 20 G</v>
      </c>
      <c r="F421" s="423" t="s">
        <v>257</v>
      </c>
      <c r="G421" s="423">
        <v>20</v>
      </c>
      <c r="H421" s="432" t="s">
        <v>907</v>
      </c>
      <c r="I421" s="423" t="s">
        <v>908</v>
      </c>
      <c r="J421" s="423" t="s">
        <v>888</v>
      </c>
      <c r="K421" s="424" t="s">
        <v>1739</v>
      </c>
      <c r="L421" s="462"/>
      <c r="M421" s="425">
        <v>240000</v>
      </c>
      <c r="N421" s="425">
        <f>M421*НДС!$A$1</f>
        <v>278400</v>
      </c>
      <c r="O421" s="426" t="s">
        <v>70</v>
      </c>
      <c r="Q421" s="429" t="s">
        <v>65</v>
      </c>
      <c r="R421" s="423">
        <f>IF(Таблица68[[#This Row],[Столбец2]]="A",1,IF(Таблица68[[#This Row],[Столбец2]]="B",2,IF(Таблица68[[#This Row],[Столбец2]]="C",3)))</f>
        <v>3</v>
      </c>
      <c r="S421" s="430" t="s">
        <v>878</v>
      </c>
    </row>
    <row r="422" spans="1:19" ht="28">
      <c r="A422" s="459" t="s">
        <v>562</v>
      </c>
      <c r="B422" s="422" t="s">
        <v>951</v>
      </c>
      <c r="C422" s="422" t="s">
        <v>1740</v>
      </c>
      <c r="D422" s="423" t="s">
        <v>823</v>
      </c>
      <c r="E422" s="423" t="str">
        <f>RIGHT(Таблица68[[#This Row],[Полное  наименование]],7)</f>
        <v>PM 25 G</v>
      </c>
      <c r="F422" s="423" t="s">
        <v>257</v>
      </c>
      <c r="G422" s="423">
        <v>25</v>
      </c>
      <c r="H422" s="432" t="s">
        <v>907</v>
      </c>
      <c r="I422" s="423" t="s">
        <v>908</v>
      </c>
      <c r="J422" s="423" t="s">
        <v>888</v>
      </c>
      <c r="K422" s="424" t="s">
        <v>1739</v>
      </c>
      <c r="L422" s="462"/>
      <c r="M422" s="425">
        <v>330000</v>
      </c>
      <c r="N422" s="425">
        <f>M422*НДС!$A$1</f>
        <v>382800</v>
      </c>
      <c r="O422" s="426" t="s">
        <v>70</v>
      </c>
      <c r="Q422" s="429" t="s">
        <v>65</v>
      </c>
      <c r="R422" s="423">
        <f>IF(Таблица68[[#This Row],[Столбец2]]="A",1,IF(Таблица68[[#This Row],[Столбец2]]="B",2,IF(Таблица68[[#This Row],[Столбец2]]="C",3)))</f>
        <v>3</v>
      </c>
      <c r="S422" s="430" t="s">
        <v>878</v>
      </c>
    </row>
    <row r="423" spans="1:19" ht="28">
      <c r="A423" s="459" t="s">
        <v>564</v>
      </c>
      <c r="B423" s="422" t="s">
        <v>951</v>
      </c>
      <c r="C423" s="422" t="s">
        <v>1741</v>
      </c>
      <c r="D423" s="423" t="s">
        <v>823</v>
      </c>
      <c r="E423" s="423" t="str">
        <f>RIGHT(Таблица68[[#This Row],[Полное  наименование]],7)</f>
        <v>PM 32 G</v>
      </c>
      <c r="F423" s="423" t="s">
        <v>257</v>
      </c>
      <c r="G423" s="423">
        <v>32</v>
      </c>
      <c r="H423" s="432" t="s">
        <v>907</v>
      </c>
      <c r="I423" s="423" t="s">
        <v>908</v>
      </c>
      <c r="J423" s="423" t="s">
        <v>888</v>
      </c>
      <c r="K423" s="424" t="s">
        <v>1739</v>
      </c>
      <c r="L423" s="462"/>
      <c r="M423" s="425">
        <v>408000</v>
      </c>
      <c r="N423" s="425">
        <f>M423*НДС!$A$1</f>
        <v>473279.99999999994</v>
      </c>
      <c r="O423" s="426" t="s">
        <v>70</v>
      </c>
      <c r="Q423" s="429" t="s">
        <v>65</v>
      </c>
      <c r="R423" s="423">
        <f>IF(Таблица68[[#This Row],[Столбец2]]="A",1,IF(Таблица68[[#This Row],[Столбец2]]="B",2,IF(Таблица68[[#This Row],[Столбец2]]="C",3)))</f>
        <v>3</v>
      </c>
      <c r="S423" s="430" t="s">
        <v>878</v>
      </c>
    </row>
    <row r="424" spans="1:19" ht="28">
      <c r="A424" s="459" t="s">
        <v>566</v>
      </c>
      <c r="B424" s="422" t="s">
        <v>951</v>
      </c>
      <c r="C424" s="422" t="s">
        <v>1742</v>
      </c>
      <c r="D424" s="423" t="s">
        <v>823</v>
      </c>
      <c r="E424" s="423" t="str">
        <f>RIGHT(Таблица68[[#This Row],[Полное  наименование]],7)</f>
        <v>PM 40 G</v>
      </c>
      <c r="F424" s="423" t="s">
        <v>257</v>
      </c>
      <c r="G424" s="423">
        <v>40</v>
      </c>
      <c r="H424" s="432" t="s">
        <v>907</v>
      </c>
      <c r="I424" s="423" t="s">
        <v>908</v>
      </c>
      <c r="J424" s="423" t="s">
        <v>888</v>
      </c>
      <c r="K424" s="424" t="s">
        <v>1739</v>
      </c>
      <c r="L424" s="462"/>
      <c r="M424" s="425">
        <v>468000</v>
      </c>
      <c r="N424" s="425">
        <f>M424*НДС!$A$1</f>
        <v>542880</v>
      </c>
      <c r="O424" s="426" t="s">
        <v>70</v>
      </c>
      <c r="Q424" s="429" t="s">
        <v>65</v>
      </c>
      <c r="R424" s="423">
        <f>IF(Таблица68[[#This Row],[Столбец2]]="A",1,IF(Таблица68[[#This Row],[Столбец2]]="B",2,IF(Таблица68[[#This Row],[Столбец2]]="C",3)))</f>
        <v>3</v>
      </c>
      <c r="S424" s="430" t="s">
        <v>878</v>
      </c>
    </row>
    <row r="425" spans="1:19" ht="28">
      <c r="A425" s="459" t="s">
        <v>568</v>
      </c>
      <c r="B425" s="422" t="s">
        <v>951</v>
      </c>
      <c r="C425" s="422" t="s">
        <v>1743</v>
      </c>
      <c r="D425" s="423" t="s">
        <v>823</v>
      </c>
      <c r="E425" s="423" t="str">
        <f>RIGHT(Таблица68[[#This Row],[Полное  наименование]],7)</f>
        <v>PM 50 G</v>
      </c>
      <c r="F425" s="423" t="s">
        <v>257</v>
      </c>
      <c r="G425" s="423">
        <v>50</v>
      </c>
      <c r="H425" s="432" t="s">
        <v>907</v>
      </c>
      <c r="I425" s="423" t="s">
        <v>908</v>
      </c>
      <c r="J425" s="423" t="s">
        <v>888</v>
      </c>
      <c r="K425" s="424" t="s">
        <v>1739</v>
      </c>
      <c r="L425" s="462"/>
      <c r="M425" s="425">
        <v>546000</v>
      </c>
      <c r="N425" s="425">
        <f>M425*НДС!$A$1</f>
        <v>633360</v>
      </c>
      <c r="O425" s="426" t="s">
        <v>70</v>
      </c>
      <c r="Q425" s="429" t="s">
        <v>65</v>
      </c>
      <c r="R425" s="423">
        <f>IF(Таблица68[[#This Row],[Столбец2]]="A",1,IF(Таблица68[[#This Row],[Столбец2]]="B",2,IF(Таблица68[[#This Row],[Столбец2]]="C",3)))</f>
        <v>3</v>
      </c>
      <c r="S425" s="430" t="s">
        <v>878</v>
      </c>
    </row>
    <row r="426" spans="1:19" ht="28">
      <c r="A426" s="459" t="s">
        <v>572</v>
      </c>
      <c r="B426" s="422" t="s">
        <v>951</v>
      </c>
      <c r="C426" s="422" t="s">
        <v>1744</v>
      </c>
      <c r="D426" s="423" t="s">
        <v>823</v>
      </c>
      <c r="E426" s="423" t="str">
        <f>RIGHT(Таблица68[[#This Row],[Полное  наименование]],8)</f>
        <v>PM 100 G</v>
      </c>
      <c r="F426" s="423" t="s">
        <v>257</v>
      </c>
      <c r="G426" s="423">
        <v>100</v>
      </c>
      <c r="H426" s="432" t="s">
        <v>907</v>
      </c>
      <c r="I426" s="423" t="s">
        <v>908</v>
      </c>
      <c r="J426" s="423" t="s">
        <v>888</v>
      </c>
      <c r="K426" s="424" t="s">
        <v>1739</v>
      </c>
      <c r="L426" s="462"/>
      <c r="M426" s="425">
        <v>1410000</v>
      </c>
      <c r="N426" s="425">
        <f>M426*НДС!$A$1</f>
        <v>1635600</v>
      </c>
      <c r="O426" s="426" t="s">
        <v>70</v>
      </c>
      <c r="Q426" s="429" t="s">
        <v>65</v>
      </c>
      <c r="R426" s="423">
        <f>IF(Таблица68[[#This Row],[Столбец2]]="A",1,IF(Таблица68[[#This Row],[Столбец2]]="B",2,IF(Таблица68[[#This Row],[Столбец2]]="C",3)))</f>
        <v>3</v>
      </c>
      <c r="S426" s="430" t="s">
        <v>878</v>
      </c>
    </row>
    <row r="427" spans="1:19" ht="25">
      <c r="A427" s="423" t="s">
        <v>514</v>
      </c>
      <c r="B427" s="422" t="s">
        <v>951</v>
      </c>
      <c r="C427" s="422" t="s">
        <v>1745</v>
      </c>
      <c r="D427" s="423" t="s">
        <v>969</v>
      </c>
      <c r="E427" s="423" t="s">
        <v>1746</v>
      </c>
      <c r="F427" s="423" t="s">
        <v>257</v>
      </c>
      <c r="G427" s="423">
        <v>20</v>
      </c>
      <c r="H427" s="423">
        <v>52</v>
      </c>
      <c r="I427" s="423" t="s">
        <v>923</v>
      </c>
      <c r="J427" s="423" t="s">
        <v>924</v>
      </c>
      <c r="K427" s="424" t="s">
        <v>1747</v>
      </c>
      <c r="L427" s="422" t="s">
        <v>971</v>
      </c>
      <c r="M427" s="425">
        <v>294000</v>
      </c>
      <c r="N427" s="425">
        <f>M427*НДС!$A$1</f>
        <v>341040</v>
      </c>
      <c r="O427" s="426" t="s">
        <v>70</v>
      </c>
      <c r="Q427" s="429" t="s">
        <v>65</v>
      </c>
      <c r="R427" s="423">
        <f>IF(Таблица68[[#This Row],[Столбец2]]="A",1,IF(Таблица68[[#This Row],[Столбец2]]="B",2,IF(Таблица68[[#This Row],[Столбец2]]="C",3)))</f>
        <v>3</v>
      </c>
      <c r="S427" s="430" t="s">
        <v>878</v>
      </c>
    </row>
    <row r="428" spans="1:19" ht="16.5">
      <c r="A428" s="423" t="s">
        <v>517</v>
      </c>
      <c r="B428" s="422" t="s">
        <v>951</v>
      </c>
      <c r="C428" s="422" t="s">
        <v>1748</v>
      </c>
      <c r="D428" s="423" t="s">
        <v>969</v>
      </c>
      <c r="E428" s="423" t="s">
        <v>1749</v>
      </c>
      <c r="F428" s="423" t="s">
        <v>257</v>
      </c>
      <c r="G428" s="423">
        <v>25</v>
      </c>
      <c r="H428" s="423">
        <v>52</v>
      </c>
      <c r="I428" s="423" t="s">
        <v>923</v>
      </c>
      <c r="J428" s="423" t="s">
        <v>924</v>
      </c>
      <c r="K428" s="424" t="s">
        <v>1747</v>
      </c>
      <c r="L428" s="422" t="s">
        <v>1750</v>
      </c>
      <c r="M428" s="425">
        <v>372000</v>
      </c>
      <c r="N428" s="425">
        <f>M428*НДС!$A$1</f>
        <v>431519.99999999994</v>
      </c>
      <c r="O428" s="426" t="s">
        <v>70</v>
      </c>
      <c r="Q428" s="450" t="s">
        <v>61</v>
      </c>
      <c r="R428" s="423">
        <f>IF(Таблица68[[#This Row],[Столбец2]]="A",1,IF(Таблица68[[#This Row],[Столбец2]]="B",2,IF(Таблица68[[#This Row],[Столбец2]]="C",3)))</f>
        <v>2</v>
      </c>
      <c r="S428" s="430" t="s">
        <v>882</v>
      </c>
    </row>
    <row r="429" spans="1:19" ht="25">
      <c r="A429" s="423" t="s">
        <v>519</v>
      </c>
      <c r="B429" s="422" t="s">
        <v>951</v>
      </c>
      <c r="C429" s="422" t="s">
        <v>1751</v>
      </c>
      <c r="D429" s="423" t="s">
        <v>969</v>
      </c>
      <c r="E429" s="423" t="s">
        <v>1752</v>
      </c>
      <c r="F429" s="423" t="s">
        <v>257</v>
      </c>
      <c r="G429" s="423">
        <v>32</v>
      </c>
      <c r="H429" s="423">
        <v>52</v>
      </c>
      <c r="I429" s="423" t="s">
        <v>923</v>
      </c>
      <c r="J429" s="423" t="s">
        <v>924</v>
      </c>
      <c r="K429" s="424" t="s">
        <v>1747</v>
      </c>
      <c r="L429" s="422" t="s">
        <v>1753</v>
      </c>
      <c r="M429" s="425">
        <v>480000</v>
      </c>
      <c r="N429" s="425">
        <f>M429*НДС!$A$1</f>
        <v>556800</v>
      </c>
      <c r="O429" s="426" t="s">
        <v>70</v>
      </c>
      <c r="Q429" s="429" t="s">
        <v>65</v>
      </c>
      <c r="R429" s="423">
        <f>IF(Таблица68[[#This Row],[Столбец2]]="A",1,IF(Таблица68[[#This Row],[Столбец2]]="B",2,IF(Таблица68[[#This Row],[Столбец2]]="C",3)))</f>
        <v>3</v>
      </c>
      <c r="S429" s="430" t="s">
        <v>878</v>
      </c>
    </row>
    <row r="430" spans="1:19" ht="16.5">
      <c r="A430" s="423" t="s">
        <v>521</v>
      </c>
      <c r="B430" s="422" t="s">
        <v>951</v>
      </c>
      <c r="C430" s="422" t="s">
        <v>1754</v>
      </c>
      <c r="D430" s="423" t="s">
        <v>969</v>
      </c>
      <c r="E430" s="423" t="s">
        <v>1755</v>
      </c>
      <c r="F430" s="423" t="s">
        <v>257</v>
      </c>
      <c r="G430" s="423">
        <v>40</v>
      </c>
      <c r="H430" s="423">
        <v>52</v>
      </c>
      <c r="I430" s="423" t="s">
        <v>923</v>
      </c>
      <c r="J430" s="423" t="s">
        <v>924</v>
      </c>
      <c r="K430" s="424" t="s">
        <v>1747</v>
      </c>
      <c r="L430" s="422" t="s">
        <v>1756</v>
      </c>
      <c r="M430" s="425">
        <v>570000</v>
      </c>
      <c r="N430" s="425">
        <f>M430*НДС!$A$1</f>
        <v>661200</v>
      </c>
      <c r="O430" s="426" t="s">
        <v>70</v>
      </c>
      <c r="Q430" s="450" t="s">
        <v>61</v>
      </c>
      <c r="R430" s="423">
        <f>IF(Таблица68[[#This Row],[Столбец2]]="A",1,IF(Таблица68[[#This Row],[Столбец2]]="B",2,IF(Таблица68[[#This Row],[Столбец2]]="C",3)))</f>
        <v>2</v>
      </c>
      <c r="S430" s="430" t="s">
        <v>882</v>
      </c>
    </row>
    <row r="431" spans="1:19" ht="16.5">
      <c r="A431" s="423" t="s">
        <v>523</v>
      </c>
      <c r="B431" s="422" t="s">
        <v>951</v>
      </c>
      <c r="C431" s="422" t="s">
        <v>1757</v>
      </c>
      <c r="D431" s="423" t="s">
        <v>969</v>
      </c>
      <c r="E431" s="423" t="s">
        <v>1758</v>
      </c>
      <c r="F431" s="423" t="s">
        <v>257</v>
      </c>
      <c r="G431" s="423">
        <v>50</v>
      </c>
      <c r="H431" s="423">
        <v>52</v>
      </c>
      <c r="I431" s="423" t="s">
        <v>923</v>
      </c>
      <c r="J431" s="423" t="s">
        <v>924</v>
      </c>
      <c r="K431" s="424" t="s">
        <v>1747</v>
      </c>
      <c r="L431" s="422" t="s">
        <v>1759</v>
      </c>
      <c r="M431" s="425">
        <v>630000</v>
      </c>
      <c r="N431" s="425">
        <f>M431*НДС!$A$1</f>
        <v>730800</v>
      </c>
      <c r="O431" s="426" t="s">
        <v>70</v>
      </c>
      <c r="Q431" s="450" t="s">
        <v>61</v>
      </c>
      <c r="R431" s="423">
        <f>IF(Таблица68[[#This Row],[Столбец2]]="A",1,IF(Таблица68[[#This Row],[Столбец2]]="B",2,IF(Таблица68[[#This Row],[Столбец2]]="C",3)))</f>
        <v>2</v>
      </c>
      <c r="S431" s="430" t="s">
        <v>882</v>
      </c>
    </row>
    <row r="432" spans="1:19" ht="25">
      <c r="A432" s="423" t="s">
        <v>525</v>
      </c>
      <c r="B432" s="422" t="s">
        <v>951</v>
      </c>
      <c r="C432" s="422" t="s">
        <v>1760</v>
      </c>
      <c r="D432" s="423" t="s">
        <v>969</v>
      </c>
      <c r="E432" s="423" t="s">
        <v>1761</v>
      </c>
      <c r="F432" s="423" t="s">
        <v>257</v>
      </c>
      <c r="G432" s="423">
        <v>65</v>
      </c>
      <c r="H432" s="423">
        <v>52</v>
      </c>
      <c r="I432" s="423" t="s">
        <v>923</v>
      </c>
      <c r="J432" s="423" t="s">
        <v>924</v>
      </c>
      <c r="K432" s="424" t="s">
        <v>1747</v>
      </c>
      <c r="L432" s="422" t="s">
        <v>1762</v>
      </c>
      <c r="M432" s="425">
        <v>900000</v>
      </c>
      <c r="N432" s="425">
        <f>M432*НДС!$A$1</f>
        <v>1043999.9999999999</v>
      </c>
      <c r="O432" s="426" t="s">
        <v>70</v>
      </c>
      <c r="Q432" s="429" t="s">
        <v>65</v>
      </c>
      <c r="R432" s="423">
        <f>IF(Таблица68[[#This Row],[Столбец2]]="A",1,IF(Таблица68[[#This Row],[Столбец2]]="B",2,IF(Таблица68[[#This Row],[Столбец2]]="C",3)))</f>
        <v>3</v>
      </c>
      <c r="S432" s="430" t="s">
        <v>878</v>
      </c>
    </row>
    <row r="433" spans="1:19" ht="16.5">
      <c r="A433" s="459" t="s">
        <v>664</v>
      </c>
      <c r="B433" s="422" t="s">
        <v>1763</v>
      </c>
      <c r="C433" s="422" t="s">
        <v>1763</v>
      </c>
      <c r="D433" s="423" t="s">
        <v>1428</v>
      </c>
      <c r="E433" s="423" t="s">
        <v>1764</v>
      </c>
      <c r="G433" s="406">
        <v>25</v>
      </c>
      <c r="H433" s="406">
        <v>52</v>
      </c>
      <c r="I433" s="423" t="s">
        <v>1431</v>
      </c>
      <c r="J433" s="423" t="s">
        <v>1432</v>
      </c>
      <c r="K433" s="408" t="s">
        <v>1747</v>
      </c>
      <c r="L433" s="462"/>
      <c r="M433" s="465">
        <v>351000</v>
      </c>
      <c r="N433" s="425">
        <f>M433*НДС!$A$1</f>
        <v>407160</v>
      </c>
      <c r="O433" s="443" t="s">
        <v>70</v>
      </c>
      <c r="Q433" s="450" t="s">
        <v>61</v>
      </c>
      <c r="R433" s="423">
        <f>IF(Таблица68[[#This Row],[Столбец2]]="A",1,IF(Таблица68[[#This Row],[Столбец2]]="B",2,IF(Таблица68[[#This Row],[Столбец2]]="C",3)))</f>
        <v>2</v>
      </c>
      <c r="S433" s="413" t="s">
        <v>882</v>
      </c>
    </row>
    <row r="434" spans="1:19" ht="16.5">
      <c r="A434" s="459" t="s">
        <v>665</v>
      </c>
      <c r="B434" s="422" t="s">
        <v>1765</v>
      </c>
      <c r="C434" s="422" t="s">
        <v>1765</v>
      </c>
      <c r="D434" s="423" t="s">
        <v>1428</v>
      </c>
      <c r="E434" s="423" t="s">
        <v>1766</v>
      </c>
      <c r="G434" s="406">
        <v>25</v>
      </c>
      <c r="H434" s="406">
        <v>52</v>
      </c>
      <c r="I434" s="423" t="s">
        <v>1431</v>
      </c>
      <c r="J434" s="423" t="s">
        <v>1432</v>
      </c>
      <c r="K434" s="408" t="s">
        <v>1747</v>
      </c>
      <c r="L434" s="462"/>
      <c r="M434" s="465">
        <v>351000</v>
      </c>
      <c r="N434" s="425">
        <f>M434*НДС!$A$1</f>
        <v>407160</v>
      </c>
      <c r="O434" s="443" t="s">
        <v>70</v>
      </c>
      <c r="Q434" s="450" t="s">
        <v>61</v>
      </c>
      <c r="R434" s="423">
        <f>IF(Таблица68[[#This Row],[Столбец2]]="A",1,IF(Таблица68[[#This Row],[Столбец2]]="B",2,IF(Таблица68[[#This Row],[Столбец2]]="C",3)))</f>
        <v>2</v>
      </c>
      <c r="S434" s="413" t="s">
        <v>882</v>
      </c>
    </row>
    <row r="435" spans="1:19" ht="16.5">
      <c r="A435" s="459" t="s">
        <v>668</v>
      </c>
      <c r="B435" s="422" t="s">
        <v>1767</v>
      </c>
      <c r="C435" s="422" t="s">
        <v>1767</v>
      </c>
      <c r="D435" s="423" t="s">
        <v>1428</v>
      </c>
      <c r="E435" s="423" t="s">
        <v>1768</v>
      </c>
      <c r="G435" s="406">
        <v>32</v>
      </c>
      <c r="H435" s="406">
        <v>52</v>
      </c>
      <c r="I435" s="423" t="s">
        <v>1431</v>
      </c>
      <c r="J435" s="423" t="s">
        <v>1432</v>
      </c>
      <c r="K435" s="408" t="s">
        <v>1747</v>
      </c>
      <c r="L435" s="462"/>
      <c r="M435" s="465">
        <v>369000</v>
      </c>
      <c r="N435" s="425">
        <f>M435*НДС!$A$1</f>
        <v>428039.99999999994</v>
      </c>
      <c r="O435" s="443" t="s">
        <v>70</v>
      </c>
      <c r="Q435" s="450" t="s">
        <v>61</v>
      </c>
      <c r="R435" s="423">
        <f>IF(Таблица68[[#This Row],[Столбец2]]="A",1,IF(Таблица68[[#This Row],[Столбец2]]="B",2,IF(Таблица68[[#This Row],[Столбец2]]="C",3)))</f>
        <v>2</v>
      </c>
      <c r="S435" s="430" t="s">
        <v>882</v>
      </c>
    </row>
    <row r="436" spans="1:19" ht="16.5">
      <c r="A436" s="459" t="s">
        <v>669</v>
      </c>
      <c r="B436" s="422" t="s">
        <v>1769</v>
      </c>
      <c r="C436" s="422" t="s">
        <v>1769</v>
      </c>
      <c r="D436" s="423" t="s">
        <v>1428</v>
      </c>
      <c r="E436" s="423" t="s">
        <v>1770</v>
      </c>
      <c r="G436" s="406">
        <v>32</v>
      </c>
      <c r="H436" s="406">
        <v>52</v>
      </c>
      <c r="I436" s="423" t="s">
        <v>1431</v>
      </c>
      <c r="J436" s="423" t="s">
        <v>1432</v>
      </c>
      <c r="K436" s="408" t="s">
        <v>1747</v>
      </c>
      <c r="L436" s="462"/>
      <c r="M436" s="465">
        <v>369000</v>
      </c>
      <c r="N436" s="425">
        <f>M436*НДС!$A$1</f>
        <v>428039.99999999994</v>
      </c>
      <c r="O436" s="443" t="s">
        <v>70</v>
      </c>
      <c r="Q436" s="450" t="s">
        <v>61</v>
      </c>
      <c r="R436" s="423">
        <f>IF(Таблица68[[#This Row],[Столбец2]]="A",1,IF(Таблица68[[#This Row],[Столбец2]]="B",2,IF(Таблица68[[#This Row],[Столбец2]]="C",3)))</f>
        <v>2</v>
      </c>
      <c r="S436" s="430" t="s">
        <v>882</v>
      </c>
    </row>
    <row r="437" spans="1:19" ht="16.5">
      <c r="A437" s="459" t="s">
        <v>672</v>
      </c>
      <c r="B437" s="422" t="s">
        <v>1771</v>
      </c>
      <c r="C437" s="422" t="s">
        <v>1771</v>
      </c>
      <c r="D437" s="423" t="s">
        <v>1428</v>
      </c>
      <c r="E437" s="423" t="s">
        <v>1772</v>
      </c>
      <c r="G437" s="406">
        <v>40</v>
      </c>
      <c r="H437" s="406">
        <v>52</v>
      </c>
      <c r="I437" s="423" t="s">
        <v>1431</v>
      </c>
      <c r="J437" s="423" t="s">
        <v>1432</v>
      </c>
      <c r="K437" s="408" t="s">
        <v>1747</v>
      </c>
      <c r="L437" s="462"/>
      <c r="M437" s="465">
        <v>435000</v>
      </c>
      <c r="N437" s="425">
        <f>M437*НДС!$A$1</f>
        <v>504599.99999999994</v>
      </c>
      <c r="O437" s="443" t="s">
        <v>70</v>
      </c>
      <c r="Q437" s="450" t="s">
        <v>61</v>
      </c>
      <c r="R437" s="423">
        <f>IF(Таблица68[[#This Row],[Столбец2]]="A",1,IF(Таблица68[[#This Row],[Столбец2]]="B",2,IF(Таблица68[[#This Row],[Столбец2]]="C",3)))</f>
        <v>2</v>
      </c>
      <c r="S437" s="430" t="s">
        <v>882</v>
      </c>
    </row>
    <row r="438" spans="1:19" ht="16.5">
      <c r="A438" s="459" t="s">
        <v>673</v>
      </c>
      <c r="B438" s="422" t="s">
        <v>1773</v>
      </c>
      <c r="C438" s="422" t="s">
        <v>1773</v>
      </c>
      <c r="D438" s="423" t="s">
        <v>1428</v>
      </c>
      <c r="E438" s="423" t="s">
        <v>1774</v>
      </c>
      <c r="G438" s="406">
        <v>40</v>
      </c>
      <c r="H438" s="406">
        <v>52</v>
      </c>
      <c r="I438" s="423" t="s">
        <v>1431</v>
      </c>
      <c r="J438" s="423" t="s">
        <v>1432</v>
      </c>
      <c r="K438" s="408" t="s">
        <v>1747</v>
      </c>
      <c r="L438" s="462"/>
      <c r="M438" s="465">
        <v>435000</v>
      </c>
      <c r="N438" s="425">
        <f>M438*НДС!$A$1</f>
        <v>504599.99999999994</v>
      </c>
      <c r="O438" s="443" t="s">
        <v>70</v>
      </c>
      <c r="Q438" s="450" t="s">
        <v>61</v>
      </c>
      <c r="R438" s="423">
        <f>IF(Таблица68[[#This Row],[Столбец2]]="A",1,IF(Таблица68[[#This Row],[Столбец2]]="B",2,IF(Таблица68[[#This Row],[Столбец2]]="C",3)))</f>
        <v>2</v>
      </c>
      <c r="S438" s="430" t="s">
        <v>882</v>
      </c>
    </row>
    <row r="439" spans="1:19" ht="16.5">
      <c r="A439" s="459" t="s">
        <v>676</v>
      </c>
      <c r="B439" s="422" t="s">
        <v>1775</v>
      </c>
      <c r="C439" s="422" t="s">
        <v>1775</v>
      </c>
      <c r="D439" s="423" t="s">
        <v>1428</v>
      </c>
      <c r="E439" s="423" t="s">
        <v>1776</v>
      </c>
      <c r="G439" s="406">
        <v>50</v>
      </c>
      <c r="H439" s="406">
        <v>52</v>
      </c>
      <c r="I439" s="423" t="s">
        <v>1431</v>
      </c>
      <c r="J439" s="423" t="s">
        <v>1432</v>
      </c>
      <c r="K439" s="408" t="s">
        <v>1747</v>
      </c>
      <c r="L439" s="462"/>
      <c r="M439" s="465">
        <v>477000</v>
      </c>
      <c r="N439" s="425">
        <f>M439*НДС!$A$1</f>
        <v>553320</v>
      </c>
      <c r="O439" s="443" t="s">
        <v>70</v>
      </c>
      <c r="Q439" s="450" t="s">
        <v>61</v>
      </c>
      <c r="R439" s="423">
        <f>IF(Таблица68[[#This Row],[Столбец2]]="A",1,IF(Таблица68[[#This Row],[Столбец2]]="B",2,IF(Таблица68[[#This Row],[Столбец2]]="C",3)))</f>
        <v>2</v>
      </c>
      <c r="S439" s="430" t="s">
        <v>882</v>
      </c>
    </row>
    <row r="440" spans="1:19" ht="25">
      <c r="A440" s="459" t="s">
        <v>677</v>
      </c>
      <c r="B440" s="422" t="s">
        <v>1777</v>
      </c>
      <c r="C440" s="422" t="s">
        <v>1777</v>
      </c>
      <c r="D440" s="423" t="s">
        <v>1428</v>
      </c>
      <c r="E440" s="423" t="s">
        <v>1778</v>
      </c>
      <c r="G440" s="406">
        <v>50</v>
      </c>
      <c r="H440" s="406">
        <v>52</v>
      </c>
      <c r="I440" s="423" t="s">
        <v>1431</v>
      </c>
      <c r="J440" s="423" t="s">
        <v>1432</v>
      </c>
      <c r="K440" s="408" t="s">
        <v>1747</v>
      </c>
      <c r="L440" s="462"/>
      <c r="M440" s="465">
        <v>477000</v>
      </c>
      <c r="N440" s="425">
        <f>M440*НДС!$A$1</f>
        <v>553320</v>
      </c>
      <c r="O440" s="443" t="s">
        <v>70</v>
      </c>
      <c r="Q440" s="429" t="s">
        <v>65</v>
      </c>
      <c r="R440" s="423">
        <f>IF(Таблица68[[#This Row],[Столбец2]]="A",1,IF(Таблица68[[#This Row],[Столбец2]]="B",2,IF(Таблица68[[#This Row],[Столбец2]]="C",3)))</f>
        <v>3</v>
      </c>
      <c r="S440" s="430" t="s">
        <v>878</v>
      </c>
    </row>
    <row r="441" spans="1:19" ht="25">
      <c r="A441" s="459" t="s">
        <v>680</v>
      </c>
      <c r="B441" s="422" t="s">
        <v>1779</v>
      </c>
      <c r="C441" s="422" t="s">
        <v>1779</v>
      </c>
      <c r="D441" s="423" t="s">
        <v>1428</v>
      </c>
      <c r="E441" s="423" t="s">
        <v>1780</v>
      </c>
      <c r="G441" s="406">
        <v>65</v>
      </c>
      <c r="H441" s="406">
        <v>52</v>
      </c>
      <c r="I441" s="423" t="s">
        <v>1431</v>
      </c>
      <c r="J441" s="423" t="s">
        <v>1432</v>
      </c>
      <c r="K441" s="408" t="s">
        <v>1747</v>
      </c>
      <c r="L441" s="462"/>
      <c r="M441" s="465">
        <v>741000</v>
      </c>
      <c r="N441" s="425">
        <f>M441*НДС!$A$1</f>
        <v>859559.99999999988</v>
      </c>
      <c r="O441" s="443" t="s">
        <v>70</v>
      </c>
      <c r="Q441" s="429" t="s">
        <v>65</v>
      </c>
      <c r="R441" s="423">
        <f>IF(Таблица68[[#This Row],[Столбец2]]="A",1,IF(Таблица68[[#This Row],[Столбец2]]="B",2,IF(Таблица68[[#This Row],[Столбец2]]="C",3)))</f>
        <v>3</v>
      </c>
      <c r="S441" s="430" t="s">
        <v>878</v>
      </c>
    </row>
    <row r="442" spans="1:19" ht="25">
      <c r="A442" s="459" t="s">
        <v>681</v>
      </c>
      <c r="B442" s="422" t="s">
        <v>1781</v>
      </c>
      <c r="C442" s="422" t="s">
        <v>1781</v>
      </c>
      <c r="D442" s="423" t="s">
        <v>1428</v>
      </c>
      <c r="E442" s="437" t="s">
        <v>1782</v>
      </c>
      <c r="G442" s="406">
        <v>65</v>
      </c>
      <c r="H442" s="406">
        <v>52</v>
      </c>
      <c r="I442" s="437" t="s">
        <v>1431</v>
      </c>
      <c r="J442" s="437" t="s">
        <v>1432</v>
      </c>
      <c r="K442" s="408" t="s">
        <v>1747</v>
      </c>
      <c r="L442" s="462"/>
      <c r="M442" s="465">
        <v>741000</v>
      </c>
      <c r="N442" s="425">
        <f>M442*НДС!$A$1</f>
        <v>859559.99999999988</v>
      </c>
      <c r="O442" s="466" t="s">
        <v>70</v>
      </c>
      <c r="Q442" s="454" t="s">
        <v>65</v>
      </c>
      <c r="R442" s="423">
        <f>IF(Таблица68[[#This Row],[Столбец2]]="A",1,IF(Таблица68[[#This Row],[Столбец2]]="B",2,IF(Таблица68[[#This Row],[Столбец2]]="C",3)))</f>
        <v>3</v>
      </c>
      <c r="S442" s="430" t="s">
        <v>878</v>
      </c>
    </row>
    <row r="443" spans="1:19" ht="28">
      <c r="A443" s="459" t="s">
        <v>709</v>
      </c>
      <c r="B443" s="422" t="s">
        <v>1783</v>
      </c>
      <c r="C443" s="422" t="s">
        <v>1783</v>
      </c>
      <c r="D443" s="423" t="s">
        <v>1493</v>
      </c>
      <c r="E443" s="455"/>
      <c r="F443" s="455"/>
      <c r="G443" s="455"/>
      <c r="H443" s="455"/>
      <c r="I443" s="455"/>
      <c r="J443" s="455"/>
      <c r="K443" s="456" t="s">
        <v>1784</v>
      </c>
      <c r="L443" s="457"/>
      <c r="M443" s="467">
        <v>71400</v>
      </c>
      <c r="N443" s="425">
        <f>M443*НДС!$A$1</f>
        <v>82824</v>
      </c>
      <c r="O443" s="443" t="s">
        <v>70</v>
      </c>
      <c r="P443" s="458"/>
      <c r="Q443" s="429" t="s">
        <v>65</v>
      </c>
      <c r="R443" s="423" t="e">
        <f>IF(Таблица68[[#This Row],[Столбец2]]="A",1,IF(Таблица68[[#This Row],[Столбец2]]="B",2,IF(Таблица68[[#This Row],[Столбец2]]="C",3)))</f>
        <v>#N/A</v>
      </c>
      <c r="S443" s="468" t="e">
        <f>#N/A</f>
        <v>#N/A</v>
      </c>
    </row>
    <row r="444" spans="1:19" ht="31.5" customHeight="1">
      <c r="A444" s="459" t="s">
        <v>711</v>
      </c>
      <c r="B444" s="422" t="s">
        <v>1785</v>
      </c>
      <c r="C444" s="422" t="s">
        <v>1785</v>
      </c>
      <c r="D444" s="423" t="s">
        <v>1493</v>
      </c>
      <c r="E444" s="455"/>
      <c r="F444" s="455"/>
      <c r="G444" s="455"/>
      <c r="H444" s="455"/>
      <c r="I444" s="455"/>
      <c r="J444" s="455"/>
      <c r="K444" s="456" t="s">
        <v>1786</v>
      </c>
      <c r="L444" s="457"/>
      <c r="M444" s="467">
        <v>71400</v>
      </c>
      <c r="N444" s="425">
        <f>M444*НДС!$A$1</f>
        <v>82824</v>
      </c>
      <c r="O444" s="443" t="s">
        <v>70</v>
      </c>
      <c r="P444" s="458"/>
      <c r="Q444" s="429" t="s">
        <v>65</v>
      </c>
      <c r="R444" s="423" t="e">
        <f>IF(Таблица68[[#This Row],[Столбец2]]="A",1,IF(Таблица68[[#This Row],[Столбец2]]="B",2,IF(Таблица68[[#This Row],[Столбец2]]="C",3)))</f>
        <v>#N/A</v>
      </c>
      <c r="S444" s="468" t="e">
        <f>#N/A</f>
        <v>#N/A</v>
      </c>
    </row>
    <row r="445" spans="1:19" ht="28">
      <c r="A445" s="459" t="s">
        <v>713</v>
      </c>
      <c r="B445" s="436" t="s">
        <v>1787</v>
      </c>
      <c r="C445" s="436" t="s">
        <v>1787</v>
      </c>
      <c r="D445" s="437" t="s">
        <v>1493</v>
      </c>
      <c r="E445" s="469"/>
      <c r="F445" s="469"/>
      <c r="G445" s="469"/>
      <c r="H445" s="469"/>
      <c r="I445" s="469"/>
      <c r="J445" s="469"/>
      <c r="K445" s="470" t="s">
        <v>1788</v>
      </c>
      <c r="L445" s="471"/>
      <c r="M445" s="472">
        <v>71400</v>
      </c>
      <c r="N445" s="425">
        <f>M445*НДС!$A$1</f>
        <v>82824</v>
      </c>
      <c r="O445" s="466" t="s">
        <v>70</v>
      </c>
      <c r="P445" s="473"/>
      <c r="Q445" s="454" t="s">
        <v>65</v>
      </c>
      <c r="R445" s="423" t="e">
        <f>IF(Таблица68[[#This Row],[Столбец2]]="A",1,IF(Таблица68[[#This Row],[Столбец2]]="B",2,IF(Таблица68[[#This Row],[Столбец2]]="C",3)))</f>
        <v>#N/A</v>
      </c>
      <c r="S445" s="474" t="e">
        <f>#N/A</f>
        <v>#N/A</v>
      </c>
    </row>
    <row r="446" spans="1:19" ht="28">
      <c r="A446" s="423" t="s">
        <v>535</v>
      </c>
      <c r="B446" s="422" t="s">
        <v>1789</v>
      </c>
      <c r="C446" s="422" t="s">
        <v>1789</v>
      </c>
      <c r="D446" s="423" t="s">
        <v>1790</v>
      </c>
      <c r="E446" s="455"/>
      <c r="F446" s="455"/>
      <c r="G446" s="455"/>
      <c r="H446" s="455"/>
      <c r="I446" s="455"/>
      <c r="J446" s="455"/>
      <c r="K446" s="456"/>
      <c r="L446" s="457"/>
      <c r="M446" s="467">
        <v>9000</v>
      </c>
      <c r="N446" s="425">
        <f>M446*НДС!$A$1</f>
        <v>10440</v>
      </c>
      <c r="O446" s="443" t="s">
        <v>70</v>
      </c>
      <c r="P446" s="458"/>
      <c r="Q446" s="450" t="s">
        <v>61</v>
      </c>
      <c r="R446" s="423">
        <f>IF(Таблица68[[#This Row],[Столбец2]]="A",1,IF(Таблица68[[#This Row],[Столбец2]]="B",2,IF(Таблица68[[#This Row],[Столбец2]]="C",3)))</f>
        <v>2</v>
      </c>
      <c r="S446" s="475" t="s">
        <v>882</v>
      </c>
    </row>
    <row r="447" spans="1:19" ht="28">
      <c r="A447" s="423" t="s">
        <v>537</v>
      </c>
      <c r="B447" s="422" t="s">
        <v>1791</v>
      </c>
      <c r="C447" s="422" t="s">
        <v>1791</v>
      </c>
      <c r="D447" s="423" t="s">
        <v>1790</v>
      </c>
      <c r="E447" s="455"/>
      <c r="F447" s="455"/>
      <c r="G447" s="455"/>
      <c r="H447" s="455"/>
      <c r="I447" s="455"/>
      <c r="J447" s="455"/>
      <c r="K447" s="456"/>
      <c r="L447" s="457"/>
      <c r="M447" s="467">
        <v>21000</v>
      </c>
      <c r="N447" s="425">
        <f>M447*НДС!$A$1</f>
        <v>24360</v>
      </c>
      <c r="O447" s="443" t="s">
        <v>70</v>
      </c>
      <c r="P447" s="458"/>
      <c r="Q447" s="450" t="s">
        <v>61</v>
      </c>
      <c r="R447" s="423">
        <f>IF(Таблица68[[#This Row],[Столбец2]]="A",1,IF(Таблица68[[#This Row],[Столбец2]]="B",2,IF(Таблица68[[#This Row],[Столбец2]]="C",3)))</f>
        <v>2</v>
      </c>
      <c r="S447" s="475" t="s">
        <v>882</v>
      </c>
    </row>
    <row r="448" spans="1:19" ht="28">
      <c r="A448" s="459" t="s">
        <v>539</v>
      </c>
      <c r="B448" s="422" t="s">
        <v>1792</v>
      </c>
      <c r="C448" s="422" t="s">
        <v>1792</v>
      </c>
      <c r="D448" s="437" t="s">
        <v>1493</v>
      </c>
      <c r="L448" s="462"/>
      <c r="M448" s="465">
        <v>21000</v>
      </c>
      <c r="N448" s="425">
        <f>M448*НДС!$A$1</f>
        <v>24360</v>
      </c>
      <c r="O448" s="443" t="s">
        <v>70</v>
      </c>
      <c r="Q448" s="450" t="s">
        <v>61</v>
      </c>
      <c r="R448" s="423">
        <f>IF(Таблица68[[#This Row],[Столбец2]]="A",1,IF(Таблица68[[#This Row],[Столбец2]]="B",2,IF(Таблица68[[#This Row],[Столбец2]]="C",3)))</f>
        <v>2</v>
      </c>
      <c r="S448" s="430" t="s">
        <v>882</v>
      </c>
    </row>
    <row r="449" spans="1:19" ht="28">
      <c r="A449" s="459" t="s">
        <v>541</v>
      </c>
      <c r="B449" s="422" t="s">
        <v>1793</v>
      </c>
      <c r="C449" s="422" t="s">
        <v>1793</v>
      </c>
      <c r="D449" s="437" t="s">
        <v>1493</v>
      </c>
      <c r="L449" s="462"/>
      <c r="M449" s="465">
        <v>39000</v>
      </c>
      <c r="N449" s="425">
        <f>M449*НДС!$A$1</f>
        <v>45240</v>
      </c>
      <c r="O449" s="443" t="s">
        <v>70</v>
      </c>
      <c r="Q449" s="450" t="s">
        <v>61</v>
      </c>
      <c r="R449" s="423">
        <f>IF(Таблица68[[#This Row],[Столбец2]]="A",1,IF(Таблица68[[#This Row],[Столбец2]]="B",2,IF(Таблица68[[#This Row],[Столбец2]]="C",3)))</f>
        <v>2</v>
      </c>
      <c r="S449" s="430" t="s">
        <v>882</v>
      </c>
    </row>
    <row r="450" spans="1:19" ht="28">
      <c r="A450" s="459" t="s">
        <v>542</v>
      </c>
      <c r="B450" s="422" t="s">
        <v>1794</v>
      </c>
      <c r="C450" s="422" t="s">
        <v>1794</v>
      </c>
      <c r="D450" s="437" t="s">
        <v>1493</v>
      </c>
      <c r="L450" s="462"/>
      <c r="M450" s="465">
        <v>45000</v>
      </c>
      <c r="N450" s="425">
        <f>M450*НДС!$A$1</f>
        <v>52200</v>
      </c>
      <c r="O450" s="443" t="s">
        <v>70</v>
      </c>
      <c r="Q450" s="450" t="s">
        <v>61</v>
      </c>
      <c r="R450" s="423">
        <f>IF(Таблица68[[#This Row],[Столбец2]]="A",1,IF(Таблица68[[#This Row],[Столбец2]]="B",2,IF(Таблица68[[#This Row],[Столбец2]]="C",3)))</f>
        <v>2</v>
      </c>
      <c r="S450" s="430" t="s">
        <v>882</v>
      </c>
    </row>
    <row r="451" spans="1:19" ht="28">
      <c r="A451" s="459" t="s">
        <v>543</v>
      </c>
      <c r="B451" s="422" t="s">
        <v>1795</v>
      </c>
      <c r="C451" s="422" t="s">
        <v>1795</v>
      </c>
      <c r="D451" s="437" t="s">
        <v>1493</v>
      </c>
      <c r="L451" s="462"/>
      <c r="M451" s="465">
        <v>51000</v>
      </c>
      <c r="N451" s="425">
        <f>M451*НДС!$A$1</f>
        <v>59159.999999999993</v>
      </c>
      <c r="O451" s="443" t="s">
        <v>70</v>
      </c>
      <c r="Q451" s="450" t="s">
        <v>61</v>
      </c>
      <c r="R451" s="423">
        <f>IF(Таблица68[[#This Row],[Столбец2]]="A",1,IF(Таблица68[[#This Row],[Столбец2]]="B",2,IF(Таблица68[[#This Row],[Столбец2]]="C",3)))</f>
        <v>2</v>
      </c>
      <c r="S451" s="430" t="s">
        <v>882</v>
      </c>
    </row>
    <row r="452" spans="1:19" ht="28">
      <c r="A452" s="459" t="s">
        <v>544</v>
      </c>
      <c r="B452" s="422" t="s">
        <v>1796</v>
      </c>
      <c r="C452" s="422" t="s">
        <v>1796</v>
      </c>
      <c r="D452" s="437" t="s">
        <v>1493</v>
      </c>
      <c r="L452" s="462"/>
      <c r="M452" s="465">
        <v>93000</v>
      </c>
      <c r="N452" s="425">
        <f>M452*НДС!$A$1</f>
        <v>107879.99999999999</v>
      </c>
      <c r="O452" s="443" t="s">
        <v>70</v>
      </c>
      <c r="Q452" s="450" t="s">
        <v>61</v>
      </c>
      <c r="R452" s="423">
        <f>IF(Таблица68[[#This Row],[Столбец2]]="A",1,IF(Таблица68[[#This Row],[Столбец2]]="B",2,IF(Таблица68[[#This Row],[Столбец2]]="C",3)))</f>
        <v>2</v>
      </c>
      <c r="S452" s="430" t="s">
        <v>882</v>
      </c>
    </row>
    <row r="453" spans="1:19" ht="28">
      <c r="A453" s="459" t="s">
        <v>545</v>
      </c>
      <c r="B453" s="422" t="s">
        <v>1797</v>
      </c>
      <c r="C453" s="422" t="s">
        <v>1797</v>
      </c>
      <c r="D453" s="437" t="s">
        <v>1493</v>
      </c>
      <c r="L453" s="462"/>
      <c r="M453" s="465">
        <v>105000</v>
      </c>
      <c r="N453" s="425">
        <f>M453*НДС!$A$1</f>
        <v>121799.99999999999</v>
      </c>
      <c r="O453" s="443" t="s">
        <v>70</v>
      </c>
      <c r="Q453" s="450" t="s">
        <v>61</v>
      </c>
      <c r="R453" s="423">
        <f>IF(Таблица68[[#This Row],[Столбец2]]="A",1,IF(Таблица68[[#This Row],[Столбец2]]="B",2,IF(Таблица68[[#This Row],[Столбец2]]="C",3)))</f>
        <v>2</v>
      </c>
      <c r="S453" s="430" t="s">
        <v>882</v>
      </c>
    </row>
    <row r="454" spans="1:19" ht="28">
      <c r="A454" s="459" t="s">
        <v>546</v>
      </c>
      <c r="B454" s="422" t="s">
        <v>1798</v>
      </c>
      <c r="C454" s="422" t="s">
        <v>1798</v>
      </c>
      <c r="D454" s="437" t="s">
        <v>1493</v>
      </c>
      <c r="E454" s="460"/>
      <c r="F454" s="460"/>
      <c r="G454" s="460"/>
      <c r="H454" s="460"/>
      <c r="I454" s="460"/>
      <c r="J454" s="460"/>
      <c r="K454" s="461"/>
      <c r="L454" s="462"/>
      <c r="M454" s="465">
        <v>123000</v>
      </c>
      <c r="N454" s="425">
        <f>M454*НДС!$A$1</f>
        <v>142680</v>
      </c>
      <c r="O454" s="443" t="s">
        <v>70</v>
      </c>
      <c r="P454" s="464"/>
      <c r="Q454" s="450" t="s">
        <v>61</v>
      </c>
      <c r="R454" s="423">
        <f>IF(Таблица68[[#This Row],[Столбец2]]="A",1,IF(Таблица68[[#This Row],[Столбец2]]="B",2,IF(Таблица68[[#This Row],[Столбец2]]="C",3)))</f>
        <v>2</v>
      </c>
      <c r="S454" s="476" t="s">
        <v>882</v>
      </c>
    </row>
    <row r="455" spans="1:19" ht="28">
      <c r="A455" s="459" t="s">
        <v>547</v>
      </c>
      <c r="B455" s="422" t="s">
        <v>1799</v>
      </c>
      <c r="C455" s="422" t="s">
        <v>1799</v>
      </c>
      <c r="D455" s="437" t="s">
        <v>1493</v>
      </c>
      <c r="L455" s="462"/>
      <c r="M455" s="465">
        <v>174000</v>
      </c>
      <c r="N455" s="425">
        <f>M455*НДС!$A$1</f>
        <v>201840</v>
      </c>
      <c r="O455" s="443" t="s">
        <v>70</v>
      </c>
      <c r="Q455" s="454" t="s">
        <v>65</v>
      </c>
      <c r="R455" s="423">
        <f>IF(Таблица68[[#This Row],[Столбец2]]="A",1,IF(Таблица68[[#This Row],[Столбец2]]="B",2,IF(Таблица68[[#This Row],[Столбец2]]="C",3)))</f>
        <v>3</v>
      </c>
      <c r="S455" s="430" t="s">
        <v>878</v>
      </c>
    </row>
    <row r="456" spans="1:19" ht="28">
      <c r="A456" s="459" t="s">
        <v>549</v>
      </c>
      <c r="B456" s="422" t="s">
        <v>1800</v>
      </c>
      <c r="C456" s="422" t="s">
        <v>1800</v>
      </c>
      <c r="D456" s="437" t="s">
        <v>1493</v>
      </c>
      <c r="L456" s="462"/>
      <c r="M456" s="465">
        <v>270000</v>
      </c>
      <c r="N456" s="425">
        <f>M456*НДС!$A$1</f>
        <v>313200</v>
      </c>
      <c r="O456" s="443" t="s">
        <v>70</v>
      </c>
      <c r="Q456" s="454" t="s">
        <v>65</v>
      </c>
      <c r="R456" s="423">
        <f>IF(Таблица68[[#This Row],[Столбец2]]="A",1,IF(Таблица68[[#This Row],[Столбец2]]="B",2,IF(Таблица68[[#This Row],[Столбец2]]="C",3)))</f>
        <v>3</v>
      </c>
      <c r="S456" s="430" t="s">
        <v>878</v>
      </c>
    </row>
    <row r="457" spans="1:19" ht="28">
      <c r="A457" s="459" t="s">
        <v>550</v>
      </c>
      <c r="B457" s="422" t="s">
        <v>1801</v>
      </c>
      <c r="C457" s="422" t="s">
        <v>1801</v>
      </c>
      <c r="D457" s="437" t="s">
        <v>1493</v>
      </c>
      <c r="L457" s="462"/>
      <c r="M457" s="465">
        <v>360000</v>
      </c>
      <c r="N457" s="425">
        <f>M457*НДС!$A$1</f>
        <v>417600</v>
      </c>
      <c r="O457" s="443" t="s">
        <v>70</v>
      </c>
      <c r="Q457" s="454" t="s">
        <v>65</v>
      </c>
      <c r="R457" s="423">
        <f>IF(Таблица68[[#This Row],[Столбец2]]="A",1,IF(Таблица68[[#This Row],[Столбец2]]="B",2,IF(Таблица68[[#This Row],[Столбец2]]="C",3)))</f>
        <v>3</v>
      </c>
      <c r="S457" s="430" t="s">
        <v>878</v>
      </c>
    </row>
    <row r="458" spans="1:19" ht="28">
      <c r="A458" s="459" t="s">
        <v>551</v>
      </c>
      <c r="B458" s="422" t="s">
        <v>1802</v>
      </c>
      <c r="C458" s="422" t="s">
        <v>1802</v>
      </c>
      <c r="D458" s="437" t="s">
        <v>1493</v>
      </c>
      <c r="L458" s="462"/>
      <c r="M458" s="465">
        <v>540000</v>
      </c>
      <c r="N458" s="425">
        <f>M458*НДС!$A$1</f>
        <v>626400</v>
      </c>
      <c r="O458" s="443" t="s">
        <v>70</v>
      </c>
      <c r="Q458" s="454" t="s">
        <v>65</v>
      </c>
      <c r="R458" s="423">
        <f>IF(Таблица68[[#This Row],[Столбец2]]="A",1,IF(Таблица68[[#This Row],[Столбец2]]="B",2,IF(Таблица68[[#This Row],[Столбец2]]="C",3)))</f>
        <v>3</v>
      </c>
      <c r="S458" s="430" t="s">
        <v>878</v>
      </c>
    </row>
    <row r="459" spans="1:19" ht="28">
      <c r="A459" s="459" t="s">
        <v>552</v>
      </c>
      <c r="B459" s="422" t="s">
        <v>1803</v>
      </c>
      <c r="C459" s="422" t="s">
        <v>1803</v>
      </c>
      <c r="D459" s="437" t="s">
        <v>1493</v>
      </c>
      <c r="L459" s="462"/>
      <c r="M459" s="465">
        <v>900000</v>
      </c>
      <c r="N459" s="425">
        <f>M459*НДС!$A$1</f>
        <v>1043999.9999999999</v>
      </c>
      <c r="O459" s="443" t="s">
        <v>70</v>
      </c>
      <c r="Q459" s="454" t="s">
        <v>65</v>
      </c>
      <c r="R459" s="423">
        <f>IF(Таблица68[[#This Row],[Столбец2]]="A",1,IF(Таблица68[[#This Row],[Столбец2]]="B",2,IF(Таблица68[[#This Row],[Столбец2]]="C",3)))</f>
        <v>3</v>
      </c>
      <c r="S459" s="430" t="s">
        <v>878</v>
      </c>
    </row>
    <row r="460" spans="1:19" ht="28">
      <c r="A460" s="459" t="s">
        <v>553</v>
      </c>
      <c r="B460" s="422" t="s">
        <v>1804</v>
      </c>
      <c r="C460" s="422" t="s">
        <v>1804</v>
      </c>
      <c r="D460" s="437" t="s">
        <v>1493</v>
      </c>
      <c r="L460" s="462"/>
      <c r="M460" s="465">
        <v>1140000</v>
      </c>
      <c r="N460" s="425">
        <f>M460*НДС!$A$1</f>
        <v>1322400</v>
      </c>
      <c r="O460" s="443" t="s">
        <v>70</v>
      </c>
      <c r="Q460" s="454" t="s">
        <v>65</v>
      </c>
      <c r="R460" s="423">
        <f>IF(Таблица68[[#This Row],[Столбец2]]="A",1,IF(Таблица68[[#This Row],[Столбец2]]="B",2,IF(Таблица68[[#This Row],[Столбец2]]="C",3)))</f>
        <v>3</v>
      </c>
      <c r="S460" s="430" t="s">
        <v>878</v>
      </c>
    </row>
    <row r="461" spans="1:19" ht="28">
      <c r="A461" s="459" t="s">
        <v>554</v>
      </c>
      <c r="B461" s="422" t="s">
        <v>1805</v>
      </c>
      <c r="C461" s="422" t="s">
        <v>1805</v>
      </c>
      <c r="D461" s="437" t="s">
        <v>1493</v>
      </c>
      <c r="E461" s="460"/>
      <c r="F461" s="460"/>
      <c r="G461" s="460"/>
      <c r="H461" s="460"/>
      <c r="I461" s="460"/>
      <c r="J461" s="460"/>
      <c r="K461" s="461"/>
      <c r="L461" s="462"/>
      <c r="M461" s="465">
        <v>1980000</v>
      </c>
      <c r="N461" s="425">
        <f>M461*НДС!$A$1</f>
        <v>2296800</v>
      </c>
      <c r="O461" s="443" t="s">
        <v>70</v>
      </c>
      <c r="P461" s="464"/>
      <c r="Q461" s="454" t="s">
        <v>65</v>
      </c>
      <c r="R461" s="423">
        <f>IF(Таблица68[[#This Row],[Столбец2]]="A",1,IF(Таблица68[[#This Row],[Столбец2]]="B",2,IF(Таблица68[[#This Row],[Столбец2]]="C",3)))</f>
        <v>3</v>
      </c>
      <c r="S461" s="476" t="s">
        <v>878</v>
      </c>
    </row>
    <row r="462" spans="1:19" ht="28">
      <c r="A462" s="459" t="s">
        <v>603</v>
      </c>
      <c r="B462" s="422" t="s">
        <v>1806</v>
      </c>
      <c r="C462" s="422" t="s">
        <v>1806</v>
      </c>
      <c r="D462" s="437" t="s">
        <v>1493</v>
      </c>
      <c r="E462" s="477"/>
      <c r="F462" s="477"/>
      <c r="G462" s="478"/>
      <c r="L462" s="462"/>
      <c r="M462" s="465">
        <v>45000</v>
      </c>
      <c r="N462" s="425">
        <f>M462*НДС!$A$1</f>
        <v>52200</v>
      </c>
      <c r="O462" s="443" t="s">
        <v>70</v>
      </c>
      <c r="Q462" s="454" t="s">
        <v>65</v>
      </c>
      <c r="R462" s="423">
        <f>IF(Таблица68[[#This Row],[Столбец2]]="A",1,IF(Таблица68[[#This Row],[Столбец2]]="B",2,IF(Таблица68[[#This Row],[Столбец2]]="C",3)))</f>
        <v>3</v>
      </c>
      <c r="S462" s="430" t="s">
        <v>878</v>
      </c>
    </row>
    <row r="463" spans="1:19" ht="28">
      <c r="A463" s="459" t="s">
        <v>605</v>
      </c>
      <c r="B463" s="422" t="s">
        <v>1807</v>
      </c>
      <c r="C463" s="422" t="s">
        <v>1807</v>
      </c>
      <c r="D463" s="437" t="s">
        <v>1493</v>
      </c>
      <c r="E463" s="477"/>
      <c r="F463" s="477"/>
      <c r="G463" s="478"/>
      <c r="L463" s="462"/>
      <c r="M463" s="465">
        <v>53400</v>
      </c>
      <c r="N463" s="425">
        <f>M463*НДС!$A$1</f>
        <v>61943.999999999993</v>
      </c>
      <c r="O463" s="443" t="s">
        <v>70</v>
      </c>
      <c r="Q463" s="454" t="s">
        <v>65</v>
      </c>
      <c r="R463" s="423">
        <f>IF(Таблица68[[#This Row],[Столбец2]]="A",1,IF(Таблица68[[#This Row],[Столбец2]]="B",2,IF(Таблица68[[#This Row],[Столбец2]]="C",3)))</f>
        <v>3</v>
      </c>
      <c r="S463" s="430" t="s">
        <v>878</v>
      </c>
    </row>
    <row r="464" spans="1:19" ht="28">
      <c r="A464" s="459" t="s">
        <v>606</v>
      </c>
      <c r="B464" s="422" t="s">
        <v>1808</v>
      </c>
      <c r="C464" s="422" t="s">
        <v>1808</v>
      </c>
      <c r="D464" s="437" t="s">
        <v>1493</v>
      </c>
      <c r="E464" s="477"/>
      <c r="F464" s="477"/>
      <c r="G464" s="478"/>
      <c r="L464" s="462"/>
      <c r="M464" s="465">
        <v>65400</v>
      </c>
      <c r="N464" s="425">
        <f>M464*НДС!$A$1</f>
        <v>75864</v>
      </c>
      <c r="O464" s="443" t="s">
        <v>70</v>
      </c>
      <c r="Q464" s="450" t="s">
        <v>61</v>
      </c>
      <c r="R464" s="423">
        <f>IF(Таблица68[[#This Row],[Столбец2]]="A",1,IF(Таблица68[[#This Row],[Столбец2]]="B",2,IF(Таблица68[[#This Row],[Столбец2]]="C",3)))</f>
        <v>2</v>
      </c>
      <c r="S464" s="430" t="s">
        <v>882</v>
      </c>
    </row>
    <row r="465" spans="1:19" ht="28">
      <c r="A465" s="459" t="s">
        <v>607</v>
      </c>
      <c r="B465" s="422" t="s">
        <v>1809</v>
      </c>
      <c r="C465" s="422" t="s">
        <v>1809</v>
      </c>
      <c r="D465" s="437" t="s">
        <v>1493</v>
      </c>
      <c r="E465" s="477"/>
      <c r="F465" s="477"/>
      <c r="G465" s="478"/>
      <c r="L465" s="462"/>
      <c r="M465" s="465">
        <v>113400</v>
      </c>
      <c r="N465" s="425">
        <f>M465*НДС!$A$1</f>
        <v>131544</v>
      </c>
      <c r="O465" s="443" t="s">
        <v>70</v>
      </c>
      <c r="Q465" s="450" t="s">
        <v>61</v>
      </c>
      <c r="R465" s="423">
        <f>IF(Таблица68[[#This Row],[Столбец2]]="A",1,IF(Таблица68[[#This Row],[Столбец2]]="B",2,IF(Таблица68[[#This Row],[Столбец2]]="C",3)))</f>
        <v>2</v>
      </c>
      <c r="S465" s="430" t="s">
        <v>882</v>
      </c>
    </row>
    <row r="466" spans="1:19" ht="28">
      <c r="A466" s="459" t="s">
        <v>608</v>
      </c>
      <c r="B466" s="422" t="s">
        <v>1810</v>
      </c>
      <c r="C466" s="422" t="s">
        <v>1810</v>
      </c>
      <c r="D466" s="437" t="s">
        <v>1493</v>
      </c>
      <c r="E466" s="477"/>
      <c r="F466" s="477"/>
      <c r="G466" s="478"/>
      <c r="L466" s="462"/>
      <c r="M466" s="465">
        <v>126000</v>
      </c>
      <c r="N466" s="425">
        <f>M466*НДС!$A$1</f>
        <v>146160</v>
      </c>
      <c r="O466" s="443" t="s">
        <v>70</v>
      </c>
      <c r="Q466" s="450" t="s">
        <v>61</v>
      </c>
      <c r="R466" s="423">
        <f>IF(Таблица68[[#This Row],[Столбец2]]="A",1,IF(Таблица68[[#This Row],[Столбец2]]="B",2,IF(Таблица68[[#This Row],[Столбец2]]="C",3)))</f>
        <v>2</v>
      </c>
      <c r="S466" s="430" t="s">
        <v>882</v>
      </c>
    </row>
    <row r="467" spans="1:19" ht="28">
      <c r="A467" s="459" t="s">
        <v>609</v>
      </c>
      <c r="B467" s="422" t="s">
        <v>1811</v>
      </c>
      <c r="C467" s="422" t="s">
        <v>1811</v>
      </c>
      <c r="D467" s="437" t="s">
        <v>1493</v>
      </c>
      <c r="E467" s="477"/>
      <c r="F467" s="477"/>
      <c r="G467" s="478"/>
      <c r="H467" s="460"/>
      <c r="I467" s="460"/>
      <c r="J467" s="460"/>
      <c r="K467" s="461"/>
      <c r="L467" s="462"/>
      <c r="M467" s="465">
        <v>150000</v>
      </c>
      <c r="N467" s="425">
        <f>M467*НДС!$A$1</f>
        <v>174000</v>
      </c>
      <c r="O467" s="443" t="s">
        <v>70</v>
      </c>
      <c r="P467" s="464"/>
      <c r="Q467" s="450" t="s">
        <v>61</v>
      </c>
      <c r="R467" s="423">
        <f>IF(Таблица68[[#This Row],[Столбец2]]="A",1,IF(Таблица68[[#This Row],[Столбец2]]="B",2,IF(Таблица68[[#This Row],[Столбец2]]="C",3)))</f>
        <v>2</v>
      </c>
      <c r="S467" s="476" t="s">
        <v>882</v>
      </c>
    </row>
    <row r="468" spans="1:19" ht="25">
      <c r="A468" s="459" t="s">
        <v>610</v>
      </c>
      <c r="B468" s="422" t="s">
        <v>1812</v>
      </c>
      <c r="C468" s="479" t="s">
        <v>1812</v>
      </c>
      <c r="D468" s="455"/>
      <c r="L468" s="462"/>
      <c r="M468" s="465">
        <v>660000</v>
      </c>
      <c r="N468" s="425">
        <f>M468*НДС!$A$1</f>
        <v>765600</v>
      </c>
      <c r="O468" s="443" t="s">
        <v>70</v>
      </c>
      <c r="Q468" s="454" t="s">
        <v>65</v>
      </c>
      <c r="R468" s="423">
        <f>IF(Таблица68[[#This Row],[Столбец2]]="A",1,IF(Таблица68[[#This Row],[Столбец2]]="B",2,IF(Таблица68[[#This Row],[Столбец2]]="C",3)))</f>
        <v>3</v>
      </c>
      <c r="S468" s="430" t="s">
        <v>878</v>
      </c>
    </row>
    <row r="469" spans="1:19" ht="25">
      <c r="A469" s="459" t="s">
        <v>612</v>
      </c>
      <c r="B469" s="422" t="s">
        <v>1813</v>
      </c>
      <c r="C469" s="479" t="s">
        <v>1813</v>
      </c>
      <c r="D469" s="455"/>
      <c r="L469" s="462"/>
      <c r="M469" s="465">
        <v>720000</v>
      </c>
      <c r="N469" s="425">
        <f>M469*НДС!$A$1</f>
        <v>835200</v>
      </c>
      <c r="O469" s="443" t="s">
        <v>70</v>
      </c>
      <c r="Q469" s="454" t="s">
        <v>65</v>
      </c>
      <c r="R469" s="423">
        <f>IF(Таблица68[[#This Row],[Столбец2]]="A",1,IF(Таблица68[[#This Row],[Столбец2]]="B",2,IF(Таблица68[[#This Row],[Столбец2]]="C",3)))</f>
        <v>3</v>
      </c>
      <c r="S469" s="430" t="s">
        <v>878</v>
      </c>
    </row>
    <row r="470" spans="1:19" ht="25">
      <c r="A470" s="459" t="s">
        <v>613</v>
      </c>
      <c r="B470" s="422" t="s">
        <v>1814</v>
      </c>
      <c r="C470" s="479" t="s">
        <v>1814</v>
      </c>
      <c r="D470" s="455"/>
      <c r="L470" s="462"/>
      <c r="M470" s="465">
        <v>1140000</v>
      </c>
      <c r="N470" s="425">
        <f>M470*НДС!$A$1</f>
        <v>1322400</v>
      </c>
      <c r="O470" s="443" t="s">
        <v>70</v>
      </c>
      <c r="Q470" s="454" t="s">
        <v>65</v>
      </c>
      <c r="R470" s="423">
        <f>IF(Таблица68[[#This Row],[Столбец2]]="A",1,IF(Таблица68[[#This Row],[Столбец2]]="B",2,IF(Таблица68[[#This Row],[Столбец2]]="C",3)))</f>
        <v>3</v>
      </c>
      <c r="S470" s="430" t="s">
        <v>878</v>
      </c>
    </row>
    <row r="471" spans="1:19" ht="25">
      <c r="A471" s="459" t="s">
        <v>614</v>
      </c>
      <c r="B471" s="422" t="s">
        <v>1815</v>
      </c>
      <c r="C471" s="479" t="s">
        <v>1815</v>
      </c>
      <c r="D471" s="455"/>
      <c r="L471" s="462"/>
      <c r="M471" s="465">
        <v>1680000</v>
      </c>
      <c r="N471" s="425">
        <f>M471*НДС!$A$1</f>
        <v>1948799.9999999998</v>
      </c>
      <c r="O471" s="443" t="s">
        <v>70</v>
      </c>
      <c r="Q471" s="454" t="s">
        <v>65</v>
      </c>
      <c r="R471" s="423">
        <f>IF(Таблица68[[#This Row],[Столбец2]]="A",1,IF(Таблица68[[#This Row],[Столбец2]]="B",2,IF(Таблица68[[#This Row],[Столбец2]]="C",3)))</f>
        <v>3</v>
      </c>
      <c r="S471" s="430" t="s">
        <v>878</v>
      </c>
    </row>
    <row r="472" spans="1:19" ht="25">
      <c r="A472" s="459" t="s">
        <v>615</v>
      </c>
      <c r="B472" s="422" t="s">
        <v>1816</v>
      </c>
      <c r="C472" s="479" t="s">
        <v>1816</v>
      </c>
      <c r="D472" s="455"/>
      <c r="L472" s="462"/>
      <c r="M472" s="465">
        <v>2994000</v>
      </c>
      <c r="N472" s="425">
        <f>M472*НДС!$A$1</f>
        <v>3473039.9999999995</v>
      </c>
      <c r="O472" s="443" t="s">
        <v>70</v>
      </c>
      <c r="Q472" s="454" t="s">
        <v>65</v>
      </c>
      <c r="R472" s="423">
        <f>IF(Таблица68[[#This Row],[Столбец2]]="A",1,IF(Таблица68[[#This Row],[Столбец2]]="B",2,IF(Таблица68[[#This Row],[Столбец2]]="C",3)))</f>
        <v>3</v>
      </c>
      <c r="S472" s="430" t="s">
        <v>878</v>
      </c>
    </row>
    <row r="473" spans="1:19" ht="25">
      <c r="A473" s="459" t="s">
        <v>616</v>
      </c>
      <c r="B473" s="422" t="s">
        <v>1817</v>
      </c>
      <c r="C473" s="479" t="s">
        <v>1817</v>
      </c>
      <c r="D473" s="455"/>
      <c r="L473" s="462"/>
      <c r="M473" s="465">
        <v>3594000</v>
      </c>
      <c r="N473" s="425">
        <f>M473*НДС!$A$1</f>
        <v>4169039.9999999995</v>
      </c>
      <c r="O473" s="443" t="s">
        <v>70</v>
      </c>
      <c r="Q473" s="454" t="s">
        <v>65</v>
      </c>
      <c r="R473" s="423">
        <f>IF(Таблица68[[#This Row],[Столбец2]]="A",1,IF(Таблица68[[#This Row],[Столбец2]]="B",2,IF(Таблица68[[#This Row],[Столбец2]]="C",3)))</f>
        <v>3</v>
      </c>
      <c r="S473" s="430" t="s">
        <v>878</v>
      </c>
    </row>
    <row r="474" spans="1:19" ht="16.5">
      <c r="A474" s="459" t="s">
        <v>233</v>
      </c>
      <c r="B474" s="422" t="s">
        <v>1818</v>
      </c>
      <c r="C474" s="479" t="s">
        <v>1818</v>
      </c>
      <c r="D474" s="455"/>
      <c r="L474" s="462"/>
      <c r="M474" s="465">
        <v>6600</v>
      </c>
      <c r="N474" s="425">
        <f>M474*НДС!$A$1</f>
        <v>7655.9999999999991</v>
      </c>
      <c r="O474" s="443" t="s">
        <v>70</v>
      </c>
      <c r="Q474" s="450" t="s">
        <v>61</v>
      </c>
      <c r="R474" s="423">
        <f>IF(Таблица68[[#This Row],[Столбец2]]="A",1,IF(Таблица68[[#This Row],[Столбец2]]="B",2,IF(Таблица68[[#This Row],[Столбец2]]="C",3)))</f>
        <v>2</v>
      </c>
      <c r="S474" s="430" t="s">
        <v>1553</v>
      </c>
    </row>
    <row r="475" spans="1:19" ht="16.5">
      <c r="A475" s="459" t="s">
        <v>234</v>
      </c>
      <c r="B475" s="422" t="s">
        <v>1819</v>
      </c>
      <c r="C475" s="479" t="s">
        <v>1819</v>
      </c>
      <c r="D475" s="455"/>
      <c r="L475" s="462"/>
      <c r="M475" s="465">
        <v>11400</v>
      </c>
      <c r="N475" s="425">
        <f>M475*НДС!$A$1</f>
        <v>13223.999999999998</v>
      </c>
      <c r="O475" s="443" t="s">
        <v>70</v>
      </c>
      <c r="Q475" s="450" t="s">
        <v>61</v>
      </c>
      <c r="R475" s="423">
        <f>IF(Таблица68[[#This Row],[Столбец2]]="A",1,IF(Таблица68[[#This Row],[Столбец2]]="B",2,IF(Таблица68[[#This Row],[Столбец2]]="C",3)))</f>
        <v>2</v>
      </c>
      <c r="S475" s="430" t="s">
        <v>1553</v>
      </c>
    </row>
    <row r="476" spans="1:19" ht="16.5">
      <c r="A476" s="459" t="s">
        <v>235</v>
      </c>
      <c r="B476" s="422" t="s">
        <v>1820</v>
      </c>
      <c r="C476" s="479" t="s">
        <v>1820</v>
      </c>
      <c r="D476" s="455"/>
      <c r="L476" s="462"/>
      <c r="M476" s="465">
        <v>12600</v>
      </c>
      <c r="N476" s="425">
        <f>M476*НДС!$A$1</f>
        <v>14615.999999999998</v>
      </c>
      <c r="O476" s="443" t="s">
        <v>70</v>
      </c>
      <c r="Q476" s="450" t="s">
        <v>61</v>
      </c>
      <c r="R476" s="423">
        <f>IF(Таблица68[[#This Row],[Столбец2]]="A",1,IF(Таблица68[[#This Row],[Столбец2]]="B",2,IF(Таблица68[[#This Row],[Столбец2]]="C",3)))</f>
        <v>2</v>
      </c>
      <c r="S476" s="430" t="s">
        <v>1553</v>
      </c>
    </row>
    <row r="477" spans="1:19" ht="16.5">
      <c r="A477" s="459" t="s">
        <v>236</v>
      </c>
      <c r="B477" s="422" t="s">
        <v>1821</v>
      </c>
      <c r="C477" s="479" t="s">
        <v>1821</v>
      </c>
      <c r="D477" s="455"/>
      <c r="L477" s="462"/>
      <c r="M477" s="465">
        <v>19800</v>
      </c>
      <c r="N477" s="425">
        <f>M477*НДС!$A$1</f>
        <v>22968</v>
      </c>
      <c r="O477" s="443" t="s">
        <v>70</v>
      </c>
      <c r="Q477" s="450" t="s">
        <v>61</v>
      </c>
      <c r="R477" s="423">
        <f>IF(Таблица68[[#This Row],[Столбец2]]="A",1,IF(Таблица68[[#This Row],[Столбец2]]="B",2,IF(Таблица68[[#This Row],[Столбец2]]="C",3)))</f>
        <v>2</v>
      </c>
      <c r="S477" s="430" t="s">
        <v>1553</v>
      </c>
    </row>
    <row r="478" spans="1:19" ht="16.5">
      <c r="A478" s="459" t="s">
        <v>237</v>
      </c>
      <c r="B478" s="422" t="s">
        <v>1822</v>
      </c>
      <c r="C478" s="479" t="s">
        <v>1822</v>
      </c>
      <c r="D478" s="455"/>
      <c r="L478" s="462"/>
      <c r="M478" s="465">
        <v>29400</v>
      </c>
      <c r="N478" s="425">
        <f>M478*НДС!$A$1</f>
        <v>34104</v>
      </c>
      <c r="O478" s="443" t="s">
        <v>70</v>
      </c>
      <c r="Q478" s="450" t="s">
        <v>61</v>
      </c>
      <c r="R478" s="423">
        <f>IF(Таблица68[[#This Row],[Столбец2]]="A",1,IF(Таблица68[[#This Row],[Столбец2]]="B",2,IF(Таблица68[[#This Row],[Столбец2]]="C",3)))</f>
        <v>2</v>
      </c>
      <c r="S478" s="430" t="s">
        <v>1553</v>
      </c>
    </row>
    <row r="479" spans="1:19" ht="16.5">
      <c r="A479" s="459" t="s">
        <v>238</v>
      </c>
      <c r="B479" s="422" t="s">
        <v>1823</v>
      </c>
      <c r="C479" s="479" t="s">
        <v>1823</v>
      </c>
      <c r="D479" s="455"/>
      <c r="L479" s="462"/>
      <c r="M479" s="465">
        <v>41400</v>
      </c>
      <c r="N479" s="425">
        <f>M479*НДС!$A$1</f>
        <v>48024</v>
      </c>
      <c r="O479" s="443" t="s">
        <v>70</v>
      </c>
      <c r="Q479" s="450" t="s">
        <v>61</v>
      </c>
      <c r="R479" s="423">
        <f>IF(Таблица68[[#This Row],[Столбец2]]="A",1,IF(Таблица68[[#This Row],[Столбец2]]="B",2,IF(Таблица68[[#This Row],[Столбец2]]="C",3)))</f>
        <v>2</v>
      </c>
      <c r="S479" s="430" t="s">
        <v>1553</v>
      </c>
    </row>
    <row r="480" spans="1:19" ht="16.5">
      <c r="A480" s="459" t="s">
        <v>239</v>
      </c>
      <c r="B480" s="422" t="s">
        <v>1824</v>
      </c>
      <c r="C480" s="479" t="s">
        <v>1824</v>
      </c>
      <c r="D480" s="455"/>
      <c r="L480" s="462"/>
      <c r="M480" s="465">
        <v>17400</v>
      </c>
      <c r="N480" s="425">
        <f>M480*НДС!$A$1</f>
        <v>20184</v>
      </c>
      <c r="O480" s="443" t="s">
        <v>70</v>
      </c>
      <c r="Q480" s="450" t="s">
        <v>61</v>
      </c>
      <c r="R480" s="423">
        <f>IF(Таблица68[[#This Row],[Столбец2]]="A",1,IF(Таблица68[[#This Row],[Столбец2]]="B",2,IF(Таблица68[[#This Row],[Столбец2]]="C",3)))</f>
        <v>3</v>
      </c>
      <c r="S480" s="430" t="s">
        <v>878</v>
      </c>
    </row>
    <row r="481" spans="1:19" ht="16.5">
      <c r="A481" s="459" t="s">
        <v>240</v>
      </c>
      <c r="B481" s="422" t="s">
        <v>1825</v>
      </c>
      <c r="C481" s="479" t="s">
        <v>1825</v>
      </c>
      <c r="D481" s="98"/>
      <c r="E481" s="477"/>
      <c r="F481" s="477"/>
      <c r="G481" s="478"/>
      <c r="L481" s="462"/>
      <c r="M481" s="465">
        <v>23400</v>
      </c>
      <c r="N481" s="425">
        <f>M481*НДС!$A$1</f>
        <v>27143.999999999996</v>
      </c>
      <c r="O481" s="443" t="s">
        <v>70</v>
      </c>
      <c r="Q481" s="450" t="s">
        <v>61</v>
      </c>
      <c r="R481" s="423">
        <f>IF(Таблица68[[#This Row],[Столбец2]]="A",1,IF(Таблица68[[#This Row],[Столбец2]]="B",2,IF(Таблица68[[#This Row],[Столбец2]]="C",3)))</f>
        <v>3</v>
      </c>
      <c r="S481" s="430" t="s">
        <v>878</v>
      </c>
    </row>
    <row r="482" spans="1:19" ht="16.5">
      <c r="A482" s="459" t="s">
        <v>241</v>
      </c>
      <c r="B482" s="422" t="s">
        <v>1826</v>
      </c>
      <c r="C482" s="479" t="s">
        <v>1826</v>
      </c>
      <c r="D482" s="98"/>
      <c r="E482" s="477"/>
      <c r="F482" s="477"/>
      <c r="G482" s="478"/>
      <c r="L482" s="462"/>
      <c r="M482" s="465">
        <v>29400</v>
      </c>
      <c r="N482" s="425">
        <f>M482*НДС!$A$1</f>
        <v>34104</v>
      </c>
      <c r="O482" s="443" t="s">
        <v>70</v>
      </c>
      <c r="Q482" s="450" t="s">
        <v>61</v>
      </c>
      <c r="R482" s="423">
        <f>IF(Таблица68[[#This Row],[Столбец2]]="A",1,IF(Таблица68[[#This Row],[Столбец2]]="B",2,IF(Таблица68[[#This Row],[Столбец2]]="C",3)))</f>
        <v>3</v>
      </c>
      <c r="S482" s="430" t="s">
        <v>878</v>
      </c>
    </row>
    <row r="483" spans="1:19" ht="16.5">
      <c r="A483" s="459" t="s">
        <v>242</v>
      </c>
      <c r="B483" s="422" t="s">
        <v>1827</v>
      </c>
      <c r="C483" s="479" t="s">
        <v>1827</v>
      </c>
      <c r="D483" s="98"/>
      <c r="E483" s="477"/>
      <c r="F483" s="477"/>
      <c r="G483" s="478"/>
      <c r="L483" s="462"/>
      <c r="M483" s="465">
        <v>35400</v>
      </c>
      <c r="N483" s="425">
        <f>M483*НДС!$A$1</f>
        <v>41064</v>
      </c>
      <c r="O483" s="443" t="s">
        <v>70</v>
      </c>
      <c r="Q483" s="450" t="s">
        <v>61</v>
      </c>
      <c r="R483" s="423">
        <f>IF(Таблица68[[#This Row],[Столбец2]]="A",1,IF(Таблица68[[#This Row],[Столбец2]]="B",2,IF(Таблица68[[#This Row],[Столбец2]]="C",3)))</f>
        <v>3</v>
      </c>
      <c r="S483" s="430" t="s">
        <v>878</v>
      </c>
    </row>
    <row r="484" spans="1:19" ht="16.5">
      <c r="A484" s="459" t="s">
        <v>243</v>
      </c>
      <c r="B484" s="422" t="s">
        <v>1828</v>
      </c>
      <c r="C484" s="479" t="s">
        <v>1828</v>
      </c>
      <c r="D484" s="98"/>
      <c r="E484" s="477"/>
      <c r="F484" s="477"/>
      <c r="G484" s="478"/>
      <c r="L484" s="462"/>
      <c r="M484" s="465">
        <v>45000</v>
      </c>
      <c r="N484" s="425">
        <f>M484*НДС!$A$1</f>
        <v>52200</v>
      </c>
      <c r="O484" s="443" t="s">
        <v>70</v>
      </c>
      <c r="Q484" s="450" t="s">
        <v>61</v>
      </c>
      <c r="R484" s="423">
        <f>IF(Таблица68[[#This Row],[Столбец2]]="A",1,IF(Таблица68[[#This Row],[Столбец2]]="B",2,IF(Таблица68[[#This Row],[Столбец2]]="C",3)))</f>
        <v>3</v>
      </c>
      <c r="S484" s="430" t="s">
        <v>878</v>
      </c>
    </row>
    <row r="485" spans="1:19" ht="16.5">
      <c r="A485" s="459" t="s">
        <v>244</v>
      </c>
      <c r="B485" s="422" t="s">
        <v>1829</v>
      </c>
      <c r="C485" s="479" t="s">
        <v>1829</v>
      </c>
      <c r="D485" s="98"/>
      <c r="E485" s="477"/>
      <c r="F485" s="477"/>
      <c r="G485" s="478"/>
      <c r="L485" s="462"/>
      <c r="M485" s="465">
        <v>51000</v>
      </c>
      <c r="N485" s="425">
        <f>M485*НДС!$A$1</f>
        <v>59159.999999999993</v>
      </c>
      <c r="O485" s="443" t="s">
        <v>70</v>
      </c>
      <c r="Q485" s="450" t="s">
        <v>61</v>
      </c>
      <c r="R485" s="423">
        <f>IF(Таблица68[[#This Row],[Столбец2]]="A",1,IF(Таблица68[[#This Row],[Столбец2]]="B",2,IF(Таблица68[[#This Row],[Столбец2]]="C",3)))</f>
        <v>3</v>
      </c>
      <c r="S485" s="430" t="s">
        <v>878</v>
      </c>
    </row>
    <row r="486" spans="1:19" ht="16.5">
      <c r="A486" s="459" t="s">
        <v>245</v>
      </c>
      <c r="B486" s="422" t="s">
        <v>1830</v>
      </c>
      <c r="C486" s="479" t="s">
        <v>1830</v>
      </c>
      <c r="D486" s="98"/>
      <c r="E486" s="477"/>
      <c r="F486" s="477"/>
      <c r="G486" s="478"/>
      <c r="L486" s="462"/>
      <c r="M486" s="465">
        <v>57000</v>
      </c>
      <c r="N486" s="425">
        <f>M486*НДС!$A$1</f>
        <v>66120</v>
      </c>
      <c r="O486" s="443" t="s">
        <v>70</v>
      </c>
      <c r="Q486" s="450" t="s">
        <v>61</v>
      </c>
      <c r="R486" s="423">
        <f>IF(Таблица68[[#This Row],[Столбец2]]="A",1,IF(Таблица68[[#This Row],[Столбец2]]="B",2,IF(Таблица68[[#This Row],[Столбец2]]="C",3)))</f>
        <v>3</v>
      </c>
      <c r="S486" s="430" t="s">
        <v>878</v>
      </c>
    </row>
    <row r="487" spans="1:19" ht="16.5">
      <c r="A487" s="459" t="s">
        <v>246</v>
      </c>
      <c r="B487" s="422" t="s">
        <v>1831</v>
      </c>
      <c r="C487" s="479" t="s">
        <v>1831</v>
      </c>
      <c r="D487" s="98"/>
      <c r="E487" s="477"/>
      <c r="F487" s="477"/>
      <c r="G487" s="478"/>
      <c r="L487" s="462"/>
      <c r="M487" s="465">
        <v>72000</v>
      </c>
      <c r="N487" s="425">
        <f>M487*НДС!$A$1</f>
        <v>83520</v>
      </c>
      <c r="O487" s="443" t="s">
        <v>70</v>
      </c>
      <c r="Q487" s="450" t="s">
        <v>61</v>
      </c>
      <c r="R487" s="423">
        <f>IF(Таблица68[[#This Row],[Столбец2]]="A",1,IF(Таблица68[[#This Row],[Столбец2]]="B",2,IF(Таблица68[[#This Row],[Столбец2]]="C",3)))</f>
        <v>3</v>
      </c>
      <c r="S487" s="430" t="s">
        <v>878</v>
      </c>
    </row>
    <row r="488" spans="1:19" ht="16.5">
      <c r="A488" s="459" t="s">
        <v>247</v>
      </c>
      <c r="B488" s="422" t="s">
        <v>1832</v>
      </c>
      <c r="C488" s="479" t="s">
        <v>1832</v>
      </c>
      <c r="D488" s="98"/>
      <c r="E488" s="477"/>
      <c r="F488" s="477"/>
      <c r="G488" s="478"/>
      <c r="L488" s="462"/>
      <c r="M488" s="465">
        <v>99000</v>
      </c>
      <c r="N488" s="425">
        <f>M488*НДС!$A$1</f>
        <v>114839.99999999999</v>
      </c>
      <c r="O488" s="443" t="s">
        <v>70</v>
      </c>
      <c r="Q488" s="450" t="s">
        <v>61</v>
      </c>
      <c r="R488" s="423">
        <f>IF(Таблица68[[#This Row],[Столбец2]]="A",1,IF(Таблица68[[#This Row],[Столбец2]]="B",2,IF(Таблица68[[#This Row],[Столбец2]]="C",3)))</f>
        <v>3</v>
      </c>
      <c r="S488" s="430" t="s">
        <v>878</v>
      </c>
    </row>
    <row r="489" spans="1:19" ht="16.5">
      <c r="A489" s="459" t="s">
        <v>248</v>
      </c>
      <c r="B489" s="422" t="s">
        <v>1833</v>
      </c>
      <c r="C489" s="479" t="s">
        <v>1833</v>
      </c>
      <c r="D489" s="98"/>
      <c r="E489" s="477"/>
      <c r="F489" s="477"/>
      <c r="G489" s="478"/>
      <c r="H489" s="460"/>
      <c r="I489" s="460"/>
      <c r="J489" s="460"/>
      <c r="K489" s="461"/>
      <c r="L489" s="462"/>
      <c r="M489" s="465">
        <v>111000</v>
      </c>
      <c r="N489" s="425">
        <f>M489*НДС!$A$1</f>
        <v>128759.99999999999</v>
      </c>
      <c r="O489" s="443" t="s">
        <v>70</v>
      </c>
      <c r="P489" s="464"/>
      <c r="Q489" s="450" t="s">
        <v>61</v>
      </c>
      <c r="R489" s="423">
        <f>IF(Таблица68[[#This Row],[Столбец2]]="A",1,IF(Таблица68[[#This Row],[Столбец2]]="B",2,IF(Таблица68[[#This Row],[Столбец2]]="C",3)))</f>
        <v>3</v>
      </c>
      <c r="S489" s="476" t="s">
        <v>878</v>
      </c>
    </row>
    <row r="490" spans="1:19" ht="16.5">
      <c r="A490" s="459" t="s">
        <v>692</v>
      </c>
      <c r="B490" s="422" t="s">
        <v>693</v>
      </c>
      <c r="C490" s="479" t="s">
        <v>693</v>
      </c>
      <c r="D490" s="455"/>
      <c r="E490" s="455"/>
      <c r="F490" s="455"/>
      <c r="G490" s="455"/>
      <c r="L490" s="462"/>
      <c r="M490" s="465">
        <v>14400</v>
      </c>
      <c r="N490" s="425">
        <f>M490*НДС!$A$1</f>
        <v>16704</v>
      </c>
      <c r="O490" s="443" t="s">
        <v>70</v>
      </c>
      <c r="Q490" s="450" t="s">
        <v>61</v>
      </c>
      <c r="R490" s="412">
        <f>IF(Таблица68[[#This Row],[Столбец2]]="A",1,IF(Таблица68[[#This Row],[Столбец2]]="B",2,IF(Таблица68[[#This Row],[Столбец2]]="C",3)))</f>
        <v>2</v>
      </c>
      <c r="S490" s="430" t="s">
        <v>1553</v>
      </c>
    </row>
    <row r="491" spans="1:19" ht="16.5">
      <c r="A491" s="459" t="s">
        <v>694</v>
      </c>
      <c r="B491" s="422" t="s">
        <v>695</v>
      </c>
      <c r="C491" s="479" t="s">
        <v>695</v>
      </c>
      <c r="D491" s="455"/>
      <c r="E491" s="455"/>
      <c r="F491" s="455"/>
      <c r="G491" s="455"/>
      <c r="L491" s="462"/>
      <c r="M491" s="465">
        <v>16200</v>
      </c>
      <c r="N491" s="425">
        <f>M491*НДС!$A$1</f>
        <v>18792</v>
      </c>
      <c r="O491" s="443" t="s">
        <v>70</v>
      </c>
      <c r="Q491" s="450" t="s">
        <v>61</v>
      </c>
      <c r="R491" s="412">
        <f>IF(Таблица68[[#This Row],[Столбец2]]="A",1,IF(Таблица68[[#This Row],[Столбец2]]="B",2,IF(Таблица68[[#This Row],[Столбец2]]="C",3)))</f>
        <v>2</v>
      </c>
      <c r="S491" s="430" t="s">
        <v>1553</v>
      </c>
    </row>
    <row r="492" spans="1:19" ht="16.5">
      <c r="A492" s="459" t="s">
        <v>696</v>
      </c>
      <c r="B492" s="422" t="s">
        <v>697</v>
      </c>
      <c r="C492" s="479" t="s">
        <v>697</v>
      </c>
      <c r="D492" s="455"/>
      <c r="E492" s="455"/>
      <c r="F492" s="455"/>
      <c r="G492" s="455"/>
      <c r="H492" s="460"/>
      <c r="I492" s="460"/>
      <c r="J492" s="460"/>
      <c r="K492" s="461"/>
      <c r="L492" s="462"/>
      <c r="M492" s="465">
        <v>23400</v>
      </c>
      <c r="N492" s="425">
        <f>M492*НДС!$A$1</f>
        <v>27143.999999999996</v>
      </c>
      <c r="O492" s="443" t="s">
        <v>70</v>
      </c>
      <c r="P492" s="464"/>
      <c r="Q492" s="450" t="s">
        <v>61</v>
      </c>
      <c r="R492" s="480">
        <f>IF(Таблица68[[#This Row],[Столбец2]]="A",1,IF(Таблица68[[#This Row],[Столбец2]]="B",2,IF(Таблица68[[#This Row],[Столбец2]]="C",3)))</f>
        <v>2</v>
      </c>
      <c r="S492" s="476" t="s">
        <v>1553</v>
      </c>
    </row>
    <row r="493" spans="1:19" ht="28">
      <c r="A493" s="459" t="s">
        <v>503</v>
      </c>
      <c r="B493" s="422" t="s">
        <v>1834</v>
      </c>
      <c r="C493" s="422" t="s">
        <v>1835</v>
      </c>
      <c r="D493" s="455"/>
      <c r="E493" s="455"/>
      <c r="F493" s="455"/>
      <c r="G493" s="455"/>
      <c r="H493" s="460"/>
      <c r="I493" s="460"/>
      <c r="J493" s="460"/>
      <c r="K493" s="461"/>
      <c r="L493" s="462"/>
      <c r="M493" s="465">
        <v>90000</v>
      </c>
      <c r="N493" s="425">
        <f>M493*НДС!$A$1</f>
        <v>104400</v>
      </c>
      <c r="O493" s="443" t="s">
        <v>70</v>
      </c>
      <c r="P493" s="464"/>
      <c r="Q493" s="450" t="s">
        <v>61</v>
      </c>
      <c r="R493" s="480">
        <f>IF(Таблица68[[#This Row],[Столбец2]]="A",1,IF(Таблица68[[#This Row],[Столбец2]]="B",2,IF(Таблица68[[#This Row],[Столбец2]]="C",3)))</f>
        <v>2</v>
      </c>
      <c r="S493" s="476" t="s">
        <v>1553</v>
      </c>
    </row>
    <row r="494" spans="1:19" ht="16.5">
      <c r="A494" s="459" t="s">
        <v>651</v>
      </c>
      <c r="B494" s="422" t="s">
        <v>1836</v>
      </c>
      <c r="C494" s="422" t="s">
        <v>1836</v>
      </c>
      <c r="D494" s="455"/>
      <c r="E494" s="455"/>
      <c r="F494" s="455"/>
      <c r="G494" s="455"/>
      <c r="L494" s="462"/>
      <c r="M494" s="465">
        <v>11400</v>
      </c>
      <c r="N494" s="425">
        <f>M494*НДС!$A$1</f>
        <v>13223.999999999998</v>
      </c>
      <c r="O494" s="443" t="s">
        <v>70</v>
      </c>
      <c r="Q494" s="450" t="s">
        <v>61</v>
      </c>
      <c r="R494" s="412">
        <f>IF(Таблица68[[#This Row],[Столбец2]]="A",1,IF(Таблица68[[#This Row],[Столбец2]]="B",2,IF(Таблица68[[#This Row],[Столбец2]]="C",3)))</f>
        <v>2</v>
      </c>
      <c r="S494" s="430" t="s">
        <v>1553</v>
      </c>
    </row>
    <row r="495" spans="1:19" ht="16.5">
      <c r="A495" s="459" t="s">
        <v>502</v>
      </c>
      <c r="B495" s="424" t="s">
        <v>1837</v>
      </c>
      <c r="C495" s="424" t="s">
        <v>1838</v>
      </c>
      <c r="D495" s="455"/>
      <c r="E495" s="455"/>
      <c r="F495" s="455"/>
      <c r="G495" s="455"/>
      <c r="L495" s="462"/>
      <c r="M495" s="465">
        <v>11400</v>
      </c>
      <c r="N495" s="425">
        <f>M495*НДС!$A$1</f>
        <v>13223.999999999998</v>
      </c>
      <c r="O495" s="443" t="s">
        <v>70</v>
      </c>
      <c r="Q495" s="450" t="s">
        <v>61</v>
      </c>
      <c r="R495" s="412">
        <f>IF(Таблица68[[#This Row],[Столбец2]]="A",1,IF(Таблица68[[#This Row],[Столбец2]]="B",2,IF(Таблица68[[#This Row],[Столбец2]]="C",3)))</f>
        <v>2</v>
      </c>
      <c r="S495" s="430" t="s">
        <v>1553</v>
      </c>
    </row>
    <row r="496" spans="1:19" ht="18.75" customHeight="1">
      <c r="A496" s="423" t="s">
        <v>102</v>
      </c>
      <c r="B496" s="422" t="s">
        <v>1839</v>
      </c>
      <c r="C496" s="422" t="s">
        <v>1839</v>
      </c>
      <c r="D496" s="423" t="s">
        <v>1840</v>
      </c>
      <c r="E496" s="423" t="s">
        <v>1841</v>
      </c>
      <c r="F496" s="423" t="s">
        <v>257</v>
      </c>
      <c r="G496" s="423">
        <v>15</v>
      </c>
      <c r="H496" s="423">
        <v>65</v>
      </c>
      <c r="I496" s="423" t="s">
        <v>346</v>
      </c>
      <c r="J496" s="423" t="s">
        <v>924</v>
      </c>
      <c r="K496" s="424" t="s">
        <v>925</v>
      </c>
      <c r="L496" s="462"/>
      <c r="M496" s="465">
        <v>297000</v>
      </c>
      <c r="N496" s="425">
        <f>M496*НДС!$A$1</f>
        <v>344520</v>
      </c>
      <c r="O496" s="426" t="s">
        <v>70</v>
      </c>
      <c r="Q496" s="411" t="s">
        <v>58</v>
      </c>
      <c r="R496" s="412">
        <f>IF(Таблица68[[#This Row],[Столбец2]]="A",1,IF(Таблица68[[#This Row],[Столбец2]]="B",2,IF(Таблица68[[#This Row],[Столбец2]]="C",3)))</f>
        <v>1</v>
      </c>
      <c r="S496" s="430" t="s">
        <v>875</v>
      </c>
    </row>
    <row r="497" spans="1:19" ht="20.25" customHeight="1">
      <c r="A497" s="459" t="s">
        <v>105</v>
      </c>
      <c r="B497" s="422" t="s">
        <v>1842</v>
      </c>
      <c r="C497" s="422" t="s">
        <v>1842</v>
      </c>
      <c r="D497" s="423" t="s">
        <v>1840</v>
      </c>
      <c r="E497" s="423" t="s">
        <v>1843</v>
      </c>
      <c r="F497" s="423" t="s">
        <v>257</v>
      </c>
      <c r="G497" s="423">
        <v>20</v>
      </c>
      <c r="H497" s="423">
        <v>65</v>
      </c>
      <c r="I497" s="423" t="s">
        <v>346</v>
      </c>
      <c r="J497" s="423" t="s">
        <v>924</v>
      </c>
      <c r="K497" s="424" t="s">
        <v>925</v>
      </c>
      <c r="L497" s="462"/>
      <c r="M497" s="465">
        <v>324000</v>
      </c>
      <c r="N497" s="425">
        <f>M497*НДС!$A$1</f>
        <v>375840</v>
      </c>
      <c r="O497" s="426" t="s">
        <v>70</v>
      </c>
      <c r="Q497" s="411" t="s">
        <v>58</v>
      </c>
      <c r="R497" s="412">
        <f>IF(Таблица68[[#This Row],[Столбец2]]="A",1,IF(Таблица68[[#This Row],[Столбец2]]="B",2,IF(Таблица68[[#This Row],[Столбец2]]="C",3)))</f>
        <v>1</v>
      </c>
      <c r="S497" s="430" t="s">
        <v>875</v>
      </c>
    </row>
    <row r="498" spans="1:19" ht="25">
      <c r="A498" s="423" t="s">
        <v>106</v>
      </c>
      <c r="B498" s="422" t="s">
        <v>1844</v>
      </c>
      <c r="C498" s="422" t="s">
        <v>1844</v>
      </c>
      <c r="D498" s="423" t="s">
        <v>1840</v>
      </c>
      <c r="E498" s="423" t="s">
        <v>1845</v>
      </c>
      <c r="F498" s="423" t="s">
        <v>257</v>
      </c>
      <c r="G498" s="423">
        <v>25</v>
      </c>
      <c r="H498" s="423">
        <v>52</v>
      </c>
      <c r="I498" s="423" t="s">
        <v>923</v>
      </c>
      <c r="J498" s="423" t="s">
        <v>924</v>
      </c>
      <c r="K498" s="424" t="s">
        <v>925</v>
      </c>
      <c r="L498" s="462"/>
      <c r="M498" s="465">
        <v>1620000</v>
      </c>
      <c r="N498" s="425">
        <f>M498*НДС!$A$1</f>
        <v>1879199.9999999998</v>
      </c>
      <c r="O498" s="481" t="s">
        <v>910</v>
      </c>
      <c r="Q498" s="454" t="s">
        <v>65</v>
      </c>
      <c r="R498" s="412">
        <f>IF(Таблица68[[#This Row],[Столбец2]]="A",1,IF(Таблица68[[#This Row],[Столбец2]]="B",2,IF(Таблица68[[#This Row],[Столбец2]]="C",3)))</f>
        <v>3</v>
      </c>
      <c r="S498" s="476" t="s">
        <v>878</v>
      </c>
    </row>
    <row r="499" spans="1:19" ht="25">
      <c r="A499" s="459" t="s">
        <v>111</v>
      </c>
      <c r="B499" s="422" t="s">
        <v>1846</v>
      </c>
      <c r="C499" s="422" t="s">
        <v>1846</v>
      </c>
      <c r="D499" s="423" t="s">
        <v>1840</v>
      </c>
      <c r="E499" s="423" t="s">
        <v>1847</v>
      </c>
      <c r="F499" s="423" t="s">
        <v>257</v>
      </c>
      <c r="G499" s="423">
        <v>32</v>
      </c>
      <c r="H499" s="423">
        <v>52</v>
      </c>
      <c r="I499" s="423" t="s">
        <v>923</v>
      </c>
      <c r="J499" s="423" t="s">
        <v>924</v>
      </c>
      <c r="K499" s="424" t="s">
        <v>925</v>
      </c>
      <c r="L499" s="462"/>
      <c r="M499" s="465">
        <v>1680000</v>
      </c>
      <c r="N499" s="425">
        <f>M499*НДС!$A$1</f>
        <v>1948799.9999999998</v>
      </c>
      <c r="O499" s="481" t="s">
        <v>910</v>
      </c>
      <c r="Q499" s="454" t="s">
        <v>65</v>
      </c>
      <c r="R499" s="412">
        <f>IF(Таблица68[[#This Row],[Столбец2]]="A",1,IF(Таблица68[[#This Row],[Столбец2]]="B",2,IF(Таблица68[[#This Row],[Столбец2]]="C",3)))</f>
        <v>3</v>
      </c>
      <c r="S499" s="476" t="s">
        <v>878</v>
      </c>
    </row>
    <row r="500" spans="1:19" ht="25">
      <c r="A500" s="423" t="s">
        <v>112</v>
      </c>
      <c r="B500" s="422" t="s">
        <v>1848</v>
      </c>
      <c r="C500" s="422" t="s">
        <v>1848</v>
      </c>
      <c r="D500" s="423" t="s">
        <v>1840</v>
      </c>
      <c r="E500" s="423" t="s">
        <v>1849</v>
      </c>
      <c r="F500" s="423" t="s">
        <v>257</v>
      </c>
      <c r="G500" s="423">
        <v>40</v>
      </c>
      <c r="H500" s="423">
        <v>52</v>
      </c>
      <c r="I500" s="423" t="s">
        <v>923</v>
      </c>
      <c r="J500" s="423" t="s">
        <v>924</v>
      </c>
      <c r="K500" s="424" t="s">
        <v>925</v>
      </c>
      <c r="L500" s="462"/>
      <c r="M500" s="465">
        <v>1740000</v>
      </c>
      <c r="N500" s="425">
        <f>M500*НДС!$A$1</f>
        <v>2018399.9999999998</v>
      </c>
      <c r="O500" s="481" t="s">
        <v>910</v>
      </c>
      <c r="Q500" s="454" t="s">
        <v>65</v>
      </c>
      <c r="R500" s="412">
        <f>IF(Таблица68[[#This Row],[Столбец2]]="A",1,IF(Таблица68[[#This Row],[Столбец2]]="B",2,IF(Таблица68[[#This Row],[Столбец2]]="C",3)))</f>
        <v>3</v>
      </c>
      <c r="S500" s="476" t="s">
        <v>878</v>
      </c>
    </row>
    <row r="501" spans="1:19" ht="25">
      <c r="A501" s="459" t="s">
        <v>113</v>
      </c>
      <c r="B501" s="422" t="s">
        <v>1850</v>
      </c>
      <c r="C501" s="422" t="s">
        <v>1850</v>
      </c>
      <c r="D501" s="423" t="s">
        <v>1840</v>
      </c>
      <c r="E501" s="423" t="s">
        <v>1851</v>
      </c>
      <c r="F501" s="423" t="s">
        <v>257</v>
      </c>
      <c r="G501" s="423">
        <v>25</v>
      </c>
      <c r="H501" s="423">
        <v>52</v>
      </c>
      <c r="I501" s="423" t="s">
        <v>923</v>
      </c>
      <c r="J501" s="423" t="s">
        <v>924</v>
      </c>
      <c r="K501" s="424" t="s">
        <v>925</v>
      </c>
      <c r="L501" s="462"/>
      <c r="M501" s="465">
        <v>1680000</v>
      </c>
      <c r="N501" s="425">
        <f>M501*НДС!$A$1</f>
        <v>1948799.9999999998</v>
      </c>
      <c r="O501" s="481" t="s">
        <v>910</v>
      </c>
      <c r="Q501" s="454" t="s">
        <v>65</v>
      </c>
      <c r="R501" s="412">
        <f>IF(Таблица68[[#This Row],[Столбец2]]="A",1,IF(Таблица68[[#This Row],[Столбец2]]="B",2,IF(Таблица68[[#This Row],[Столбец2]]="C",3)))</f>
        <v>3</v>
      </c>
      <c r="S501" s="476" t="s">
        <v>878</v>
      </c>
    </row>
    <row r="502" spans="1:19" ht="25">
      <c r="A502" s="423" t="s">
        <v>115</v>
      </c>
      <c r="B502" s="422" t="s">
        <v>1852</v>
      </c>
      <c r="C502" s="422" t="s">
        <v>1852</v>
      </c>
      <c r="D502" s="423" t="s">
        <v>1840</v>
      </c>
      <c r="E502" s="423" t="s">
        <v>1853</v>
      </c>
      <c r="F502" s="423" t="s">
        <v>257</v>
      </c>
      <c r="G502" s="423">
        <v>32</v>
      </c>
      <c r="H502" s="423">
        <v>52</v>
      </c>
      <c r="I502" s="423" t="s">
        <v>923</v>
      </c>
      <c r="J502" s="423" t="s">
        <v>924</v>
      </c>
      <c r="K502" s="424" t="s">
        <v>925</v>
      </c>
      <c r="L502" s="462"/>
      <c r="M502" s="465">
        <v>1740000</v>
      </c>
      <c r="N502" s="425">
        <f>M502*НДС!$A$1</f>
        <v>2018399.9999999998</v>
      </c>
      <c r="O502" s="481" t="s">
        <v>910</v>
      </c>
      <c r="Q502" s="454" t="s">
        <v>65</v>
      </c>
      <c r="R502" s="412">
        <f>IF(Таблица68[[#This Row],[Столбец2]]="A",1,IF(Таблица68[[#This Row],[Столбец2]]="B",2,IF(Таблица68[[#This Row],[Столбец2]]="C",3)))</f>
        <v>3</v>
      </c>
      <c r="S502" s="476" t="s">
        <v>878</v>
      </c>
    </row>
    <row r="503" spans="1:19" ht="25">
      <c r="A503" s="459" t="s">
        <v>116</v>
      </c>
      <c r="B503" s="422" t="s">
        <v>1854</v>
      </c>
      <c r="C503" s="422" t="s">
        <v>1854</v>
      </c>
      <c r="D503" s="423" t="s">
        <v>1840</v>
      </c>
      <c r="E503" s="423" t="s">
        <v>1855</v>
      </c>
      <c r="F503" s="423" t="s">
        <v>257</v>
      </c>
      <c r="G503" s="423">
        <v>40</v>
      </c>
      <c r="H503" s="423">
        <v>52</v>
      </c>
      <c r="I503" s="423" t="s">
        <v>923</v>
      </c>
      <c r="J503" s="423" t="s">
        <v>924</v>
      </c>
      <c r="K503" s="424" t="s">
        <v>925</v>
      </c>
      <c r="L503" s="462"/>
      <c r="M503" s="465">
        <v>1860000</v>
      </c>
      <c r="N503" s="425">
        <f>M503*НДС!$A$1</f>
        <v>2157600</v>
      </c>
      <c r="O503" s="481" t="s">
        <v>910</v>
      </c>
      <c r="Q503" s="454" t="s">
        <v>65</v>
      </c>
      <c r="R503" s="412">
        <f>IF(Таблица68[[#This Row],[Столбец2]]="A",1,IF(Таблица68[[#This Row],[Столбец2]]="B",2,IF(Таблица68[[#This Row],[Столбец2]]="C",3)))</f>
        <v>3</v>
      </c>
      <c r="S503" s="476" t="s">
        <v>878</v>
      </c>
    </row>
    <row r="504" spans="1:19" ht="25">
      <c r="A504" s="423" t="s">
        <v>117</v>
      </c>
      <c r="B504" s="422" t="s">
        <v>1856</v>
      </c>
      <c r="C504" s="422" t="s">
        <v>1856</v>
      </c>
      <c r="D504" s="423" t="s">
        <v>1840</v>
      </c>
      <c r="E504" s="423" t="s">
        <v>1857</v>
      </c>
      <c r="F504" s="423" t="s">
        <v>257</v>
      </c>
      <c r="G504" s="423">
        <v>25</v>
      </c>
      <c r="H504" s="423">
        <v>52</v>
      </c>
      <c r="I504" s="423" t="s">
        <v>923</v>
      </c>
      <c r="J504" s="423" t="s">
        <v>924</v>
      </c>
      <c r="K504" s="424" t="s">
        <v>925</v>
      </c>
      <c r="L504" s="462"/>
      <c r="M504" s="465">
        <v>1920000</v>
      </c>
      <c r="N504" s="425">
        <f>M504*НДС!$A$1</f>
        <v>2227200</v>
      </c>
      <c r="O504" s="481" t="s">
        <v>910</v>
      </c>
      <c r="Q504" s="454" t="s">
        <v>65</v>
      </c>
      <c r="R504" s="412">
        <f>IF(Таблица68[[#This Row],[Столбец2]]="A",1,IF(Таблица68[[#This Row],[Столбец2]]="B",2,IF(Таблица68[[#This Row],[Столбец2]]="C",3)))</f>
        <v>3</v>
      </c>
      <c r="S504" s="476" t="s">
        <v>878</v>
      </c>
    </row>
    <row r="505" spans="1:19" ht="25">
      <c r="A505" s="459" t="s">
        <v>119</v>
      </c>
      <c r="B505" s="422" t="s">
        <v>1858</v>
      </c>
      <c r="C505" s="422" t="s">
        <v>1858</v>
      </c>
      <c r="D505" s="423" t="s">
        <v>1840</v>
      </c>
      <c r="E505" s="423" t="s">
        <v>1859</v>
      </c>
      <c r="F505" s="423" t="s">
        <v>257</v>
      </c>
      <c r="G505" s="423">
        <v>32</v>
      </c>
      <c r="H505" s="423">
        <v>52</v>
      </c>
      <c r="I505" s="423" t="s">
        <v>923</v>
      </c>
      <c r="J505" s="423" t="s">
        <v>924</v>
      </c>
      <c r="K505" s="424" t="s">
        <v>925</v>
      </c>
      <c r="L505" s="462"/>
      <c r="M505" s="465">
        <v>2040000</v>
      </c>
      <c r="N505" s="425">
        <f>M505*НДС!$A$1</f>
        <v>2366400</v>
      </c>
      <c r="O505" s="481" t="s">
        <v>910</v>
      </c>
      <c r="Q505" s="454" t="s">
        <v>65</v>
      </c>
      <c r="R505" s="412">
        <f>IF(Таблица68[[#This Row],[Столбец2]]="A",1,IF(Таблица68[[#This Row],[Столбец2]]="B",2,IF(Таблица68[[#This Row],[Столбец2]]="C",3)))</f>
        <v>3</v>
      </c>
      <c r="S505" s="476" t="s">
        <v>878</v>
      </c>
    </row>
    <row r="506" spans="1:19" ht="25">
      <c r="A506" s="423" t="s">
        <v>120</v>
      </c>
      <c r="B506" s="422" t="s">
        <v>1860</v>
      </c>
      <c r="C506" s="422" t="s">
        <v>1860</v>
      </c>
      <c r="D506" s="423" t="s">
        <v>1840</v>
      </c>
      <c r="E506" s="423" t="s">
        <v>1861</v>
      </c>
      <c r="F506" s="423" t="s">
        <v>257</v>
      </c>
      <c r="G506" s="423">
        <v>40</v>
      </c>
      <c r="H506" s="423">
        <v>52</v>
      </c>
      <c r="I506" s="423" t="s">
        <v>923</v>
      </c>
      <c r="J506" s="423" t="s">
        <v>924</v>
      </c>
      <c r="K506" s="424" t="s">
        <v>925</v>
      </c>
      <c r="L506" s="462"/>
      <c r="M506" s="465">
        <v>2160000</v>
      </c>
      <c r="N506" s="425">
        <f>M506*НДС!$A$1</f>
        <v>2505600</v>
      </c>
      <c r="O506" s="481" t="s">
        <v>910</v>
      </c>
      <c r="Q506" s="454" t="s">
        <v>65</v>
      </c>
      <c r="R506" s="412">
        <f>IF(Таблица68[[#This Row],[Столбец2]]="A",1,IF(Таблица68[[#This Row],[Столбец2]]="B",2,IF(Таблица68[[#This Row],[Столбец2]]="C",3)))</f>
        <v>3</v>
      </c>
      <c r="S506" s="476" t="s">
        <v>878</v>
      </c>
    </row>
    <row r="507" spans="1:19" ht="25">
      <c r="A507" s="459" t="s">
        <v>121</v>
      </c>
      <c r="B507" s="422" t="s">
        <v>1862</v>
      </c>
      <c r="C507" s="422" t="s">
        <v>1862</v>
      </c>
      <c r="D507" s="423" t="s">
        <v>1840</v>
      </c>
      <c r="E507" s="423" t="s">
        <v>1863</v>
      </c>
      <c r="F507" s="423" t="s">
        <v>257</v>
      </c>
      <c r="G507" s="423">
        <v>25</v>
      </c>
      <c r="H507" s="423">
        <v>52</v>
      </c>
      <c r="I507" s="423" t="s">
        <v>923</v>
      </c>
      <c r="J507" s="423" t="s">
        <v>924</v>
      </c>
      <c r="K507" s="424" t="s">
        <v>925</v>
      </c>
      <c r="L507" s="462"/>
      <c r="M507" s="465">
        <v>1680000</v>
      </c>
      <c r="N507" s="425">
        <f>M507*НДС!$A$1</f>
        <v>1948799.9999999998</v>
      </c>
      <c r="O507" s="481" t="s">
        <v>910</v>
      </c>
      <c r="Q507" s="454" t="s">
        <v>65</v>
      </c>
      <c r="R507" s="412">
        <f>IF(Таблица68[[#This Row],[Столбец2]]="A",1,IF(Таблица68[[#This Row],[Столбец2]]="B",2,IF(Таблица68[[#This Row],[Столбец2]]="C",3)))</f>
        <v>3</v>
      </c>
      <c r="S507" s="476" t="s">
        <v>878</v>
      </c>
    </row>
    <row r="508" spans="1:19" ht="25">
      <c r="A508" s="423" t="s">
        <v>123</v>
      </c>
      <c r="B508" s="422" t="s">
        <v>1864</v>
      </c>
      <c r="C508" s="422" t="s">
        <v>1864</v>
      </c>
      <c r="D508" s="423" t="s">
        <v>1840</v>
      </c>
      <c r="E508" s="423" t="s">
        <v>1865</v>
      </c>
      <c r="F508" s="423" t="s">
        <v>257</v>
      </c>
      <c r="G508" s="423">
        <v>32</v>
      </c>
      <c r="H508" s="423">
        <v>52</v>
      </c>
      <c r="I508" s="423" t="s">
        <v>923</v>
      </c>
      <c r="J508" s="423" t="s">
        <v>924</v>
      </c>
      <c r="K508" s="424" t="s">
        <v>925</v>
      </c>
      <c r="L508" s="462"/>
      <c r="M508" s="465">
        <v>1800000</v>
      </c>
      <c r="N508" s="425">
        <f>M508*НДС!$A$1</f>
        <v>2087999.9999999998</v>
      </c>
      <c r="O508" s="481" t="s">
        <v>910</v>
      </c>
      <c r="Q508" s="454" t="s">
        <v>65</v>
      </c>
      <c r="R508" s="412">
        <f>IF(Таблица68[[#This Row],[Столбец2]]="A",1,IF(Таблица68[[#This Row],[Столбец2]]="B",2,IF(Таблица68[[#This Row],[Столбец2]]="C",3)))</f>
        <v>3</v>
      </c>
      <c r="S508" s="476" t="s">
        <v>878</v>
      </c>
    </row>
    <row r="509" spans="1:19" ht="25">
      <c r="A509" s="459" t="s">
        <v>124</v>
      </c>
      <c r="B509" s="422" t="s">
        <v>1866</v>
      </c>
      <c r="C509" s="422" t="s">
        <v>1866</v>
      </c>
      <c r="D509" s="423" t="s">
        <v>1840</v>
      </c>
      <c r="E509" s="423" t="s">
        <v>1867</v>
      </c>
      <c r="F509" s="423" t="s">
        <v>257</v>
      </c>
      <c r="G509" s="423">
        <v>40</v>
      </c>
      <c r="H509" s="423">
        <v>52</v>
      </c>
      <c r="I509" s="423" t="s">
        <v>923</v>
      </c>
      <c r="J509" s="423" t="s">
        <v>924</v>
      </c>
      <c r="K509" s="424" t="s">
        <v>925</v>
      </c>
      <c r="L509" s="462"/>
      <c r="M509" s="465">
        <v>1980000</v>
      </c>
      <c r="N509" s="425">
        <f>M509*НДС!$A$1</f>
        <v>2296800</v>
      </c>
      <c r="O509" s="481" t="s">
        <v>910</v>
      </c>
      <c r="Q509" s="454" t="s">
        <v>65</v>
      </c>
      <c r="R509" s="412">
        <f>IF(Таблица68[[#This Row],[Столбец2]]="A",1,IF(Таблица68[[#This Row],[Столбец2]]="B",2,IF(Таблица68[[#This Row],[Столбец2]]="C",3)))</f>
        <v>3</v>
      </c>
      <c r="S509" s="476" t="s">
        <v>878</v>
      </c>
    </row>
    <row r="510" spans="1:19" ht="25">
      <c r="A510" s="423" t="s">
        <v>125</v>
      </c>
      <c r="B510" s="422" t="s">
        <v>1868</v>
      </c>
      <c r="C510" s="422" t="s">
        <v>1868</v>
      </c>
      <c r="D510" s="423" t="s">
        <v>1840</v>
      </c>
      <c r="E510" s="423" t="s">
        <v>1869</v>
      </c>
      <c r="F510" s="423" t="s">
        <v>257</v>
      </c>
      <c r="G510" s="423">
        <v>25</v>
      </c>
      <c r="H510" s="423">
        <v>52</v>
      </c>
      <c r="I510" s="423" t="s">
        <v>923</v>
      </c>
      <c r="J510" s="423" t="s">
        <v>924</v>
      </c>
      <c r="K510" s="424" t="s">
        <v>925</v>
      </c>
      <c r="L510" s="462"/>
      <c r="M510" s="465">
        <v>2100000</v>
      </c>
      <c r="N510" s="425">
        <f>M510*НДС!$A$1</f>
        <v>2436000</v>
      </c>
      <c r="O510" s="481" t="s">
        <v>910</v>
      </c>
      <c r="Q510" s="454" t="s">
        <v>65</v>
      </c>
      <c r="R510" s="412">
        <f>IF(Таблица68[[#This Row],[Столбец2]]="A",1,IF(Таблица68[[#This Row],[Столбец2]]="B",2,IF(Таблица68[[#This Row],[Столбец2]]="C",3)))</f>
        <v>3</v>
      </c>
      <c r="S510" s="476" t="s">
        <v>878</v>
      </c>
    </row>
    <row r="511" spans="1:19" ht="25">
      <c r="A511" s="459" t="s">
        <v>126</v>
      </c>
      <c r="B511" s="422" t="s">
        <v>1870</v>
      </c>
      <c r="C511" s="422" t="s">
        <v>1870</v>
      </c>
      <c r="D511" s="423" t="s">
        <v>1840</v>
      </c>
      <c r="E511" s="423" t="s">
        <v>1871</v>
      </c>
      <c r="F511" s="423" t="s">
        <v>257</v>
      </c>
      <c r="G511" s="423">
        <v>32</v>
      </c>
      <c r="H511" s="423">
        <v>52</v>
      </c>
      <c r="I511" s="423" t="s">
        <v>923</v>
      </c>
      <c r="J511" s="423" t="s">
        <v>924</v>
      </c>
      <c r="K511" s="424" t="s">
        <v>925</v>
      </c>
      <c r="L511" s="462"/>
      <c r="M511" s="465">
        <v>2280000</v>
      </c>
      <c r="N511" s="425">
        <f>M511*НДС!$A$1</f>
        <v>2644800</v>
      </c>
      <c r="O511" s="481" t="s">
        <v>910</v>
      </c>
      <c r="Q511" s="454" t="s">
        <v>65</v>
      </c>
      <c r="R511" s="412">
        <f>IF(Таблица68[[#This Row],[Столбец2]]="A",1,IF(Таблица68[[#This Row],[Столбец2]]="B",2,IF(Таблица68[[#This Row],[Столбец2]]="C",3)))</f>
        <v>3</v>
      </c>
      <c r="S511" s="476" t="s">
        <v>878</v>
      </c>
    </row>
    <row r="512" spans="1:19" ht="25">
      <c r="A512" s="423" t="s">
        <v>127</v>
      </c>
      <c r="B512" s="422" t="s">
        <v>1872</v>
      </c>
      <c r="C512" s="422" t="s">
        <v>1872</v>
      </c>
      <c r="D512" s="423" t="s">
        <v>1840</v>
      </c>
      <c r="E512" s="423" t="s">
        <v>1873</v>
      </c>
      <c r="F512" s="423" t="s">
        <v>257</v>
      </c>
      <c r="G512" s="423">
        <v>40</v>
      </c>
      <c r="H512" s="423">
        <v>52</v>
      </c>
      <c r="I512" s="423" t="s">
        <v>923</v>
      </c>
      <c r="J512" s="423" t="s">
        <v>924</v>
      </c>
      <c r="K512" s="424" t="s">
        <v>925</v>
      </c>
      <c r="L512" s="462"/>
      <c r="M512" s="465">
        <v>2400000</v>
      </c>
      <c r="N512" s="425">
        <f>M512*НДС!$A$1</f>
        <v>2784000</v>
      </c>
      <c r="O512" s="481" t="s">
        <v>910</v>
      </c>
      <c r="Q512" s="454" t="s">
        <v>65</v>
      </c>
      <c r="R512" s="412">
        <f>IF(Таблица68[[#This Row],[Столбец2]]="A",1,IF(Таблица68[[#This Row],[Столбец2]]="B",2,IF(Таблица68[[#This Row],[Столбец2]]="C",3)))</f>
        <v>3</v>
      </c>
      <c r="S512" s="476" t="s">
        <v>878</v>
      </c>
    </row>
    <row r="513" spans="1:19" ht="16.5">
      <c r="A513" s="459" t="s">
        <v>808</v>
      </c>
      <c r="B513" s="422" t="s">
        <v>1874</v>
      </c>
      <c r="C513" s="422" t="s">
        <v>1874</v>
      </c>
      <c r="D513" s="423" t="s">
        <v>1875</v>
      </c>
      <c r="E513" s="423" t="s">
        <v>1876</v>
      </c>
      <c r="I513" s="423" t="s">
        <v>1877</v>
      </c>
      <c r="L513" s="462"/>
      <c r="M513" s="465">
        <v>1494000</v>
      </c>
      <c r="N513" s="425">
        <f>M513*НДС!$A$1</f>
        <v>1733039.9999999998</v>
      </c>
      <c r="O513" s="443" t="s">
        <v>70</v>
      </c>
      <c r="Q513" s="450" t="s">
        <v>61</v>
      </c>
      <c r="R513" s="412">
        <f>IF(Таблица68[[#This Row],[Столбец2]]="A",1,IF(Таблица68[[#This Row],[Столбец2]]="B",2,IF(Таблица68[[#This Row],[Столбец2]]="C",3)))</f>
        <v>2</v>
      </c>
      <c r="S513" s="430" t="s">
        <v>1553</v>
      </c>
    </row>
    <row r="514" spans="1:19" ht="16.5">
      <c r="A514" s="459" t="s">
        <v>814</v>
      </c>
      <c r="B514" s="422" t="s">
        <v>1878</v>
      </c>
      <c r="C514" s="422" t="s">
        <v>1878</v>
      </c>
      <c r="D514" s="423" t="s">
        <v>1875</v>
      </c>
      <c r="E514" s="423" t="s">
        <v>1879</v>
      </c>
      <c r="I514" s="423" t="s">
        <v>1877</v>
      </c>
      <c r="L514" s="462"/>
      <c r="M514" s="465">
        <v>2094000</v>
      </c>
      <c r="N514" s="425">
        <f>M514*НДС!$A$1</f>
        <v>2429040</v>
      </c>
      <c r="O514" s="443" t="s">
        <v>70</v>
      </c>
      <c r="Q514" s="450" t="s">
        <v>61</v>
      </c>
      <c r="R514" s="412">
        <f>IF(Таблица68[[#This Row],[Столбец2]]="A",1,IF(Таблица68[[#This Row],[Столбец2]]="B",2,IF(Таблица68[[#This Row],[Столбец2]]="C",3)))</f>
        <v>2</v>
      </c>
      <c r="S514" s="430" t="s">
        <v>1553</v>
      </c>
    </row>
  </sheetData>
  <pageMargins left="0.7" right="0.7" top="0.75" bottom="0.75" header="0.511811023622047" footer="0.511811023622047"/>
  <pageSetup paperSize="9" orientation="portrait" horizontalDpi="300" verticalDpi="300"/>
  <legacy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Normal="100" workbookViewId="0"/>
  </sheetViews>
  <sheetFormatPr defaultColWidth="11.54296875" defaultRowHeight="12.75" customHeight="1"/>
  <sheetData>
    <row r="1" spans="1:1" ht="12.75" customHeight="1">
      <c r="A1">
        <v>1.1599999999999999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showGridLines="0" topLeftCell="A8" zoomScaleNormal="100" workbookViewId="0">
      <selection activeCell="T32" sqref="T32"/>
    </sheetView>
  </sheetViews>
  <sheetFormatPr defaultColWidth="9.1796875" defaultRowHeight="12" customHeight="1"/>
  <cols>
    <col min="1" max="1" width="2.1796875" style="107" customWidth="1"/>
    <col min="2" max="2" width="15.81640625" style="108" customWidth="1"/>
    <col min="3" max="3" width="14.453125" style="107" customWidth="1"/>
    <col min="4" max="4" width="12.453125" style="107" customWidth="1"/>
    <col min="5" max="5" width="8" style="107" customWidth="1"/>
    <col min="6" max="6" width="9.54296875" style="107" customWidth="1"/>
    <col min="7" max="7" width="20.81640625" style="107" customWidth="1"/>
    <col min="8" max="8" width="19.1796875" style="107" customWidth="1"/>
    <col min="9" max="9" width="20.81640625" style="107" customWidth="1"/>
    <col min="10" max="10" width="23.1796875" style="107" customWidth="1"/>
    <col min="11" max="11" width="15.1796875" style="107" hidden="1" customWidth="1"/>
    <col min="12" max="12" width="19" style="107" hidden="1" customWidth="1"/>
    <col min="13" max="13" width="14.453125" style="107" customWidth="1"/>
    <col min="14" max="14" width="11.1796875" style="107" customWidth="1"/>
    <col min="15" max="15" width="17.7265625" style="107" customWidth="1"/>
    <col min="16" max="17" width="17.453125" style="107" hidden="1" customWidth="1"/>
    <col min="18" max="18" width="18.1796875" style="107" customWidth="1"/>
    <col min="19" max="20" width="13.453125" style="107" customWidth="1"/>
    <col min="21" max="21" width="7.54296875" style="107" customWidth="1"/>
    <col min="22" max="16384" width="9.1796875" style="107"/>
  </cols>
  <sheetData>
    <row r="1" spans="1:21" ht="11.25" customHeight="1"/>
    <row r="2" spans="1:21" ht="41.25" customHeight="1">
      <c r="B2" s="490" t="s">
        <v>87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110"/>
      <c r="O2" s="110"/>
      <c r="P2" s="110"/>
      <c r="Q2" s="110"/>
      <c r="R2" s="110"/>
      <c r="S2" s="110"/>
      <c r="T2" s="110"/>
      <c r="U2" s="111"/>
    </row>
    <row r="3" spans="1:21" ht="117.75" customHeight="1">
      <c r="B3" s="491" t="s">
        <v>88</v>
      </c>
      <c r="C3" s="491"/>
      <c r="D3" s="491"/>
      <c r="E3" s="491"/>
      <c r="F3" s="491"/>
      <c r="G3" s="491"/>
      <c r="H3" s="491"/>
      <c r="I3" s="491"/>
      <c r="J3" s="491"/>
      <c r="K3" s="112"/>
      <c r="L3" s="112"/>
      <c r="M3" s="112"/>
      <c r="N3" s="112"/>
      <c r="O3" s="113"/>
      <c r="P3" s="113"/>
      <c r="Q3" s="113"/>
      <c r="R3" s="113"/>
      <c r="S3" s="113"/>
      <c r="T3" s="113"/>
      <c r="U3" s="114"/>
    </row>
    <row r="4" spans="1:21" ht="9.75" customHeight="1">
      <c r="B4" s="76" t="s">
        <v>58</v>
      </c>
      <c r="C4" s="115" t="s">
        <v>59</v>
      </c>
      <c r="D4" s="116"/>
      <c r="E4" s="116"/>
      <c r="F4" s="116"/>
      <c r="G4" s="116"/>
      <c r="H4" s="116"/>
      <c r="I4" s="116"/>
      <c r="J4" s="116"/>
      <c r="K4" s="116"/>
      <c r="L4" s="116"/>
      <c r="M4" s="117"/>
      <c r="N4" s="113"/>
      <c r="O4" s="113"/>
      <c r="P4" s="113"/>
      <c r="Q4" s="113"/>
      <c r="R4" s="113"/>
      <c r="S4" s="113"/>
      <c r="T4" s="113"/>
      <c r="U4" s="114"/>
    </row>
    <row r="5" spans="1:21" ht="10.5" customHeight="1">
      <c r="B5" s="78" t="s">
        <v>61</v>
      </c>
      <c r="C5" s="115" t="s">
        <v>62</v>
      </c>
      <c r="D5" s="116"/>
      <c r="E5" s="116"/>
      <c r="F5" s="116"/>
      <c r="G5" s="116"/>
      <c r="H5" s="116"/>
      <c r="I5" s="116"/>
      <c r="J5" s="116"/>
      <c r="K5" s="116"/>
      <c r="L5" s="116"/>
      <c r="M5" s="117"/>
      <c r="N5" s="113"/>
      <c r="O5" s="113"/>
      <c r="P5" s="113"/>
      <c r="Q5" s="113"/>
      <c r="R5" s="113"/>
      <c r="S5" s="113"/>
      <c r="T5" s="113"/>
      <c r="U5" s="114"/>
    </row>
    <row r="6" spans="1:21" ht="11.25" customHeight="1">
      <c r="B6" s="80" t="s">
        <v>65</v>
      </c>
      <c r="C6" s="115" t="s">
        <v>66</v>
      </c>
      <c r="D6" s="116"/>
      <c r="E6" s="116"/>
      <c r="F6" s="116"/>
      <c r="G6" s="116"/>
      <c r="H6" s="116"/>
      <c r="I6" s="116"/>
      <c r="J6" s="116"/>
      <c r="K6" s="116"/>
      <c r="L6" s="116"/>
      <c r="M6" s="117"/>
      <c r="N6" s="113"/>
      <c r="O6" s="113"/>
      <c r="P6" s="113"/>
      <c r="Q6" s="113"/>
      <c r="R6" s="113"/>
      <c r="S6" s="113"/>
      <c r="T6" s="113"/>
      <c r="U6" s="114"/>
    </row>
    <row r="7" spans="1:21" ht="11.25" customHeight="1">
      <c r="B7" s="80"/>
      <c r="C7" s="115"/>
      <c r="D7" s="116"/>
      <c r="E7" s="116"/>
      <c r="F7" s="116"/>
      <c r="G7" s="116"/>
      <c r="H7" s="116"/>
      <c r="I7" s="116"/>
      <c r="J7" s="116"/>
      <c r="K7" s="116"/>
      <c r="L7" s="116"/>
      <c r="M7" s="117"/>
      <c r="N7" s="113"/>
      <c r="O7" s="113"/>
      <c r="P7" s="113"/>
      <c r="Q7" s="113"/>
      <c r="R7" s="113"/>
      <c r="S7" s="113"/>
      <c r="T7" s="113"/>
      <c r="U7" s="114"/>
    </row>
    <row r="8" spans="1:21" ht="15" customHeight="1">
      <c r="B8" s="118"/>
      <c r="C8" s="119"/>
      <c r="D8" s="120"/>
      <c r="E8" s="120"/>
      <c r="F8" s="120"/>
      <c r="G8" s="120"/>
      <c r="H8" s="120"/>
      <c r="I8" s="120"/>
      <c r="J8" s="120"/>
      <c r="K8" s="120"/>
      <c r="L8" s="120"/>
      <c r="M8" s="117"/>
      <c r="N8" s="113"/>
      <c r="O8" s="113"/>
      <c r="P8" s="113"/>
      <c r="Q8" s="113"/>
      <c r="R8" s="113"/>
      <c r="S8" s="113"/>
      <c r="T8" s="113"/>
      <c r="U8" s="114"/>
    </row>
    <row r="9" spans="1:21" ht="15" customHeight="1">
      <c r="A9" s="121"/>
      <c r="B9" s="122"/>
      <c r="C9" s="74"/>
      <c r="D9" s="123"/>
      <c r="E9" s="123"/>
      <c r="F9" s="123"/>
      <c r="G9" s="123"/>
      <c r="H9" s="123"/>
      <c r="I9" s="123"/>
      <c r="J9" s="123"/>
      <c r="K9" s="123"/>
      <c r="L9" s="123"/>
      <c r="M9" s="117"/>
      <c r="N9" s="113"/>
      <c r="O9" s="113"/>
      <c r="P9" s="113"/>
      <c r="Q9" s="113"/>
      <c r="R9" s="113"/>
      <c r="S9" s="113"/>
      <c r="T9" s="113"/>
      <c r="U9" s="114"/>
    </row>
    <row r="10" spans="1:21" ht="16.5" customHeight="1">
      <c r="B10" s="124"/>
      <c r="C10" s="69"/>
      <c r="D10" s="69"/>
      <c r="E10" s="69"/>
      <c r="F10" s="69"/>
      <c r="G10" s="125"/>
      <c r="H10" s="125"/>
      <c r="I10" s="125"/>
      <c r="J10" s="125"/>
      <c r="K10" s="125"/>
      <c r="L10" s="125"/>
      <c r="M10" s="69"/>
      <c r="N10" s="69"/>
      <c r="O10" s="69"/>
      <c r="P10" s="69"/>
      <c r="Q10" s="69"/>
      <c r="R10" s="492"/>
      <c r="S10" s="492"/>
      <c r="T10" s="492"/>
      <c r="U10" s="492"/>
    </row>
    <row r="11" spans="1:21" ht="25.5" customHeight="1">
      <c r="B11" s="126"/>
      <c r="C11" s="126"/>
      <c r="D11" s="126"/>
      <c r="E11" s="126"/>
      <c r="F11" s="126"/>
      <c r="G11" s="493" t="s">
        <v>89</v>
      </c>
      <c r="H11" s="493"/>
      <c r="I11" s="493"/>
      <c r="J11" s="493"/>
      <c r="K11" s="493"/>
      <c r="L11" s="493"/>
      <c r="M11" s="126"/>
      <c r="N11" s="126"/>
      <c r="O11" s="126"/>
      <c r="P11" s="128"/>
      <c r="Q11" s="128"/>
      <c r="R11" s="126"/>
      <c r="S11" s="126"/>
      <c r="T11" s="126"/>
      <c r="U11" s="126"/>
    </row>
    <row r="12" spans="1:21" ht="40.5">
      <c r="B12" s="94" t="s">
        <v>72</v>
      </c>
      <c r="C12" s="94" t="s">
        <v>90</v>
      </c>
      <c r="D12" s="94" t="s">
        <v>91</v>
      </c>
      <c r="E12" s="94" t="s">
        <v>81</v>
      </c>
      <c r="F12" s="94" t="s">
        <v>92</v>
      </c>
      <c r="G12" s="129" t="s">
        <v>93</v>
      </c>
      <c r="H12" s="95" t="s">
        <v>94</v>
      </c>
      <c r="I12" s="95" t="s">
        <v>95</v>
      </c>
      <c r="J12" s="95" t="s">
        <v>96</v>
      </c>
      <c r="K12" s="95" t="s">
        <v>97</v>
      </c>
      <c r="L12" s="130" t="s">
        <v>98</v>
      </c>
      <c r="M12" s="94" t="s">
        <v>84</v>
      </c>
      <c r="N12" s="94" t="s">
        <v>99</v>
      </c>
      <c r="O12" s="94" t="s">
        <v>83</v>
      </c>
      <c r="P12" s="131" t="s">
        <v>100</v>
      </c>
      <c r="Q12" s="132" t="s">
        <v>101</v>
      </c>
      <c r="R12" s="94" t="s">
        <v>67</v>
      </c>
      <c r="S12" s="94" t="s">
        <v>74</v>
      </c>
      <c r="T12" s="94" t="s">
        <v>75</v>
      </c>
      <c r="U12" s="133" t="s">
        <v>55</v>
      </c>
    </row>
    <row r="13" spans="1:21" ht="30" customHeight="1">
      <c r="B13" s="97" t="s">
        <v>102</v>
      </c>
      <c r="C13" s="98" t="str">
        <f>VLOOKUP(B13,ИСХОДНИК!A:P,5,FALSE())</f>
        <v>ICF-R 15-2-1</v>
      </c>
      <c r="D13" s="134" t="str">
        <f>VLOOKUP(B13,ИСХОДНИК!A:P,11,FALSE())</f>
        <v>Под сварку встык DIN</v>
      </c>
      <c r="E13" s="105">
        <f>VLOOKUP(B13,ИСХОДНИК!A:P,7,FALSE())</f>
        <v>15</v>
      </c>
      <c r="F13" s="105">
        <v>2</v>
      </c>
      <c r="G13" s="135" t="s">
        <v>103</v>
      </c>
      <c r="H13" s="135" t="s">
        <v>104</v>
      </c>
      <c r="I13" s="136"/>
      <c r="J13" s="136"/>
      <c r="K13" s="136"/>
      <c r="L13" s="136"/>
      <c r="M13" s="137" t="str">
        <f>VLOOKUP(B13,ИСХОДНИК!A:P,10,FALSE())</f>
        <v>R717, R744 и фреоны</v>
      </c>
      <c r="N13" s="137">
        <f>VLOOKUP(B13,ИСХОДНИК!A:P,8,FALSE())</f>
        <v>65</v>
      </c>
      <c r="O13" s="137" t="str">
        <f>VLOOKUP(B13,ИСХОДНИК!A:P,9,FALSE())</f>
        <v xml:space="preserve"> -60…120</v>
      </c>
      <c r="P13" s="138"/>
      <c r="Q13" s="137"/>
      <c r="R13" s="105" t="str">
        <f>VLOOKUP(B13,ИСХОДНИК!A:P,15,FALSE())</f>
        <v>U6 PL40R</v>
      </c>
      <c r="S13" s="139">
        <f>VLOOKUP(B13,ИСХОДНИК!A:P,13,FALSE())</f>
        <v>297000</v>
      </c>
      <c r="T13" s="139">
        <f>VLOOKUP(B13,ИСХОДНИК!A:P,14,FALSE())</f>
        <v>344520</v>
      </c>
      <c r="U13" s="140" t="str">
        <f>IF(VLOOKUP(B13,ИСХОДНИК!A:R,18,FALSE())=1,ИСХОДНИК!$T$2,IF(VLOOKUP(B13,ИСХОДНИК!A:R,18,FALSE())=2,ИСХОДНИК!$T$5,IF(VLOOKUP(B13,ИСХОДНИК!A:R,18,FALSE())=3,ИСХОДНИК!$T$6)))</f>
        <v>●</v>
      </c>
    </row>
    <row r="14" spans="1:21" ht="30" customHeight="1">
      <c r="B14" s="97" t="s">
        <v>105</v>
      </c>
      <c r="C14" s="98" t="str">
        <f>VLOOKUP(B14,ИСХОДНИК!A:P,5,FALSE())</f>
        <v>ICF-R 20-2-1</v>
      </c>
      <c r="D14" s="134" t="str">
        <f>VLOOKUP(B14,ИСХОДНИК!A:P,11,FALSE())</f>
        <v>Под сварку встык DIN</v>
      </c>
      <c r="E14" s="105">
        <f>VLOOKUP(B14,ИСХОДНИК!A:P,7,FALSE())</f>
        <v>20</v>
      </c>
      <c r="F14" s="105">
        <v>2</v>
      </c>
      <c r="G14" s="135" t="s">
        <v>103</v>
      </c>
      <c r="H14" s="135" t="s">
        <v>104</v>
      </c>
      <c r="I14" s="141"/>
      <c r="J14" s="141"/>
      <c r="K14" s="136"/>
      <c r="L14" s="136"/>
      <c r="M14" s="137" t="str">
        <f>VLOOKUP(B14,ИСХОДНИК!A:P,10,FALSE())</f>
        <v>R717, R744 и фреоны</v>
      </c>
      <c r="N14" s="137">
        <f>VLOOKUP(B14,ИСХОДНИК!A:P,8,FALSE())</f>
        <v>65</v>
      </c>
      <c r="O14" s="137" t="str">
        <f>VLOOKUP(B14,ИСХОДНИК!A:P,9,FALSE())</f>
        <v xml:space="preserve"> -60…120</v>
      </c>
      <c r="P14" s="138"/>
      <c r="Q14" s="137"/>
      <c r="R14" s="105" t="str">
        <f>VLOOKUP(B14,ИСХОДНИК!A:P,15,FALSE())</f>
        <v>U6 PL40R</v>
      </c>
      <c r="S14" s="139">
        <f>VLOOKUP(B14,ИСХОДНИК!A:P,13,FALSE())</f>
        <v>324000</v>
      </c>
      <c r="T14" s="139">
        <f>VLOOKUP(B14,ИСХОДНИК!A:P,14,FALSE())</f>
        <v>375840</v>
      </c>
      <c r="U14" s="140" t="str">
        <f>IF(VLOOKUP(B14,ИСХОДНИК!A:R,18,FALSE())=1,ИСХОДНИК!$T$2,IF(VLOOKUP(B14,ИСХОДНИК!A:R,18,FALSE())=2,ИСХОДНИК!$T$5,IF(VLOOKUP(B14,ИСХОДНИК!A:R,18,FALSE())=3,ИСХОДНИК!$T$6)))</f>
        <v>●</v>
      </c>
    </row>
    <row r="15" spans="1:21" ht="30" customHeight="1">
      <c r="B15" s="97" t="s">
        <v>106</v>
      </c>
      <c r="C15" s="98" t="str">
        <f>VLOOKUP(B15,ИСХОДНИК!A:P,5,FALSE())</f>
        <v>ICF-R 25-4-1</v>
      </c>
      <c r="D15" s="134" t="str">
        <f>VLOOKUP(B15,ИСХОДНИК!A:P,11,FALSE())</f>
        <v>Под сварку встык DIN</v>
      </c>
      <c r="E15" s="105">
        <f>VLOOKUP(B15,ИСХОДНИК!A:P,7,FALSE())</f>
        <v>25</v>
      </c>
      <c r="F15" s="105">
        <v>4</v>
      </c>
      <c r="G15" s="142" t="s">
        <v>107</v>
      </c>
      <c r="H15" s="135" t="s">
        <v>108</v>
      </c>
      <c r="I15" s="135" t="s">
        <v>109</v>
      </c>
      <c r="J15" s="135" t="s">
        <v>110</v>
      </c>
      <c r="K15" s="136"/>
      <c r="L15" s="136"/>
      <c r="M15" s="137" t="str">
        <f>VLOOKUP(B15,ИСХОДНИК!A:P,10,FALSE())</f>
        <v>R717, R744 и фреоны</v>
      </c>
      <c r="N15" s="137">
        <f>VLOOKUP(B15,ИСХОДНИК!A:P,8,FALSE())</f>
        <v>52</v>
      </c>
      <c r="O15" s="137" t="str">
        <f>VLOOKUP(B15,ИСХОДНИК!A:P,9,FALSE())</f>
        <v xml:space="preserve"> -50…120</v>
      </c>
      <c r="P15" s="138"/>
      <c r="Q15" s="137"/>
      <c r="R15" s="105" t="str">
        <f>VLOOKUP(B15,ИСХОДНИК!A:P,15,FALSE())</f>
        <v>PR PL40R-Project</v>
      </c>
      <c r="S15" s="139">
        <f>VLOOKUP(B15,ИСХОДНИК!A:P,13,FALSE())</f>
        <v>1620000</v>
      </c>
      <c r="T15" s="139">
        <f>VLOOKUP(B15,ИСХОДНИК!A:P,14,FALSE())</f>
        <v>1879199.9999999998</v>
      </c>
      <c r="U15" s="140" t="str">
        <f>IF(VLOOKUP(B15,ИСХОДНИК!A:R,18,FALSE())=1,ИСХОДНИК!$T$2,IF(VLOOKUP(B15,ИСХОДНИК!A:R,18,FALSE())=2,ИСХОДНИК!$T$5,IF(VLOOKUP(B15,ИСХОДНИК!A:R,18,FALSE())=3,ИСХОДНИК!$T$6)))</f>
        <v>○</v>
      </c>
    </row>
    <row r="16" spans="1:21" ht="30" customHeight="1">
      <c r="B16" s="97" t="s">
        <v>111</v>
      </c>
      <c r="C16" s="98" t="str">
        <f>VLOOKUP(B16,ИСХОДНИК!A:P,5,FALSE())</f>
        <v>ICF-R 32-4-1</v>
      </c>
      <c r="D16" s="134" t="str">
        <f>VLOOKUP(B16,ИСХОДНИК!A:P,11,FALSE())</f>
        <v>Под сварку встык DIN</v>
      </c>
      <c r="E16" s="105">
        <f>VLOOKUP(B16,ИСХОДНИК!A:P,7,FALSE())</f>
        <v>32</v>
      </c>
      <c r="F16" s="105">
        <v>4</v>
      </c>
      <c r="G16" s="135" t="s">
        <v>107</v>
      </c>
      <c r="H16" s="135" t="s">
        <v>108</v>
      </c>
      <c r="I16" s="135" t="s">
        <v>109</v>
      </c>
      <c r="J16" s="135" t="s">
        <v>110</v>
      </c>
      <c r="K16" s="136"/>
      <c r="L16" s="136"/>
      <c r="M16" s="137" t="str">
        <f>VLOOKUP(B16,ИСХОДНИК!A:P,10,FALSE())</f>
        <v>R717, R744 и фреоны</v>
      </c>
      <c r="N16" s="137">
        <f>VLOOKUP(B16,ИСХОДНИК!A:P,8,FALSE())</f>
        <v>52</v>
      </c>
      <c r="O16" s="137" t="str">
        <f>VLOOKUP(B16,ИСХОДНИК!A:P,9,FALSE())</f>
        <v xml:space="preserve"> -50…120</v>
      </c>
      <c r="P16" s="138"/>
      <c r="Q16" s="137"/>
      <c r="R16" s="105" t="str">
        <f>VLOOKUP(B16,ИСХОДНИК!A:P,15,FALSE())</f>
        <v>PR PL40R-Project</v>
      </c>
      <c r="S16" s="139">
        <f>VLOOKUP(B16,ИСХОДНИК!A:P,13,FALSE())</f>
        <v>1680000</v>
      </c>
      <c r="T16" s="139">
        <f>VLOOKUP(B16,ИСХОДНИК!A:P,14,FALSE())</f>
        <v>1948799.9999999998</v>
      </c>
      <c r="U16" s="140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22" ht="30" customHeight="1">
      <c r="B17" s="97" t="s">
        <v>112</v>
      </c>
      <c r="C17" s="98" t="str">
        <f>VLOOKUP(B17,ИСХОДНИК!A:P,5,FALSE())</f>
        <v>ICF-R 40-4-1</v>
      </c>
      <c r="D17" s="134" t="str">
        <f>VLOOKUP(B17,ИСХОДНИК!A:P,11,FALSE())</f>
        <v>Под сварку встык DIN</v>
      </c>
      <c r="E17" s="105">
        <f>VLOOKUP(B17,ИСХОДНИК!A:P,7,FALSE())</f>
        <v>40</v>
      </c>
      <c r="F17" s="105">
        <v>4</v>
      </c>
      <c r="G17" s="135" t="s">
        <v>107</v>
      </c>
      <c r="H17" s="135" t="s">
        <v>108</v>
      </c>
      <c r="I17" s="135" t="s">
        <v>109</v>
      </c>
      <c r="J17" s="135" t="s">
        <v>110</v>
      </c>
      <c r="K17" s="136"/>
      <c r="L17" s="136"/>
      <c r="M17" s="137" t="str">
        <f>VLOOKUP(B17,ИСХОДНИК!A:P,10,FALSE())</f>
        <v>R717, R744 и фреоны</v>
      </c>
      <c r="N17" s="137">
        <f>VLOOKUP(B17,ИСХОДНИК!A:P,8,FALSE())</f>
        <v>52</v>
      </c>
      <c r="O17" s="137" t="str">
        <f>VLOOKUP(B17,ИСХОДНИК!A:P,9,FALSE())</f>
        <v xml:space="preserve"> -50…120</v>
      </c>
      <c r="P17" s="138"/>
      <c r="Q17" s="137"/>
      <c r="R17" s="105" t="str">
        <f>VLOOKUP(B17,ИСХОДНИК!A:P,15,FALSE())</f>
        <v>PR PL40R-Project</v>
      </c>
      <c r="S17" s="139">
        <f>VLOOKUP(B17,ИСХОДНИК!A:P,13,FALSE())</f>
        <v>1740000</v>
      </c>
      <c r="T17" s="139">
        <f>VLOOKUP(B17,ИСХОДНИК!A:P,14,FALSE())</f>
        <v>2018399.9999999998</v>
      </c>
      <c r="U17" s="140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22" ht="30" customHeight="1">
      <c r="B18" s="97" t="s">
        <v>113</v>
      </c>
      <c r="C18" s="98" t="str">
        <f>VLOOKUP(B18,ИСХОДНИК!A:P,5,FALSE())</f>
        <v>ICF-R 25-4-3</v>
      </c>
      <c r="D18" s="134" t="str">
        <f>VLOOKUP(B18,ИСХОДНИК!A:P,11,FALSE())</f>
        <v>Под сварку встык DIN</v>
      </c>
      <c r="E18" s="105">
        <f>VLOOKUP(B18,ИСХОДНИК!A:P,7,FALSE())</f>
        <v>25</v>
      </c>
      <c r="F18" s="105">
        <v>4</v>
      </c>
      <c r="G18" s="135" t="s">
        <v>107</v>
      </c>
      <c r="H18" s="135" t="s">
        <v>108</v>
      </c>
      <c r="I18" s="135" t="s">
        <v>109</v>
      </c>
      <c r="J18" s="135" t="s">
        <v>114</v>
      </c>
      <c r="K18" s="136"/>
      <c r="L18" s="136"/>
      <c r="M18" s="137" t="str">
        <f>VLOOKUP(B18,ИСХОДНИК!A:P,10,FALSE())</f>
        <v>R717, R744 и фреоны</v>
      </c>
      <c r="N18" s="137">
        <f>VLOOKUP(B18,ИСХОДНИК!A:P,8,FALSE())</f>
        <v>52</v>
      </c>
      <c r="O18" s="137" t="str">
        <f>VLOOKUP(B18,ИСХОДНИК!A:P,9,FALSE())</f>
        <v xml:space="preserve"> -50…120</v>
      </c>
      <c r="P18" s="138"/>
      <c r="Q18" s="137"/>
      <c r="R18" s="105" t="str">
        <f>VLOOKUP(B18,ИСХОДНИК!A:P,15,FALSE())</f>
        <v>PR PL40R-Project</v>
      </c>
      <c r="S18" s="139">
        <f>VLOOKUP(B18,ИСХОДНИК!A:P,13,FALSE())</f>
        <v>1680000</v>
      </c>
      <c r="T18" s="139">
        <f>VLOOKUP(B18,ИСХОДНИК!A:P,14,FALSE())</f>
        <v>1948799.9999999998</v>
      </c>
      <c r="U18" s="140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22" ht="30" customHeight="1">
      <c r="B19" s="97" t="s">
        <v>115</v>
      </c>
      <c r="C19" s="98" t="str">
        <f>VLOOKUP(B19,ИСХОДНИК!A:P,5,FALSE())</f>
        <v>ICF-R 32-4-3</v>
      </c>
      <c r="D19" s="134" t="str">
        <f>VLOOKUP(B19,ИСХОДНИК!A:P,11,FALSE())</f>
        <v>Под сварку встык DIN</v>
      </c>
      <c r="E19" s="105">
        <f>VLOOKUP(B19,ИСХОДНИК!A:P,7,FALSE())</f>
        <v>32</v>
      </c>
      <c r="F19" s="105">
        <v>4</v>
      </c>
      <c r="G19" s="135" t="s">
        <v>107</v>
      </c>
      <c r="H19" s="135" t="s">
        <v>108</v>
      </c>
      <c r="I19" s="135" t="s">
        <v>109</v>
      </c>
      <c r="J19" s="135" t="s">
        <v>114</v>
      </c>
      <c r="K19" s="136"/>
      <c r="L19" s="136"/>
      <c r="M19" s="137" t="str">
        <f>VLOOKUP(B19,ИСХОДНИК!A:P,10,FALSE())</f>
        <v>R717, R744 и фреоны</v>
      </c>
      <c r="N19" s="137">
        <f>VLOOKUP(B19,ИСХОДНИК!A:P,8,FALSE())</f>
        <v>52</v>
      </c>
      <c r="O19" s="137" t="str">
        <f>VLOOKUP(B19,ИСХОДНИК!A:P,9,FALSE())</f>
        <v xml:space="preserve"> -50…120</v>
      </c>
      <c r="P19" s="138"/>
      <c r="Q19" s="137"/>
      <c r="R19" s="105" t="str">
        <f>VLOOKUP(B19,ИСХОДНИК!A:P,15,FALSE())</f>
        <v>PR PL40R-Project</v>
      </c>
      <c r="S19" s="139">
        <f>VLOOKUP(B19,ИСХОДНИК!A:P,13,FALSE())</f>
        <v>1740000</v>
      </c>
      <c r="T19" s="139">
        <f>VLOOKUP(B19,ИСХОДНИК!A:P,14,FALSE())</f>
        <v>2018399.9999999998</v>
      </c>
      <c r="U19" s="140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22" ht="30" customHeight="1">
      <c r="B20" s="97" t="s">
        <v>116</v>
      </c>
      <c r="C20" s="98" t="str">
        <f>VLOOKUP(B20,ИСХОДНИК!A:P,5,FALSE())</f>
        <v>ICF-R 40-4-3</v>
      </c>
      <c r="D20" s="134" t="str">
        <f>VLOOKUP(B20,ИСХОДНИК!A:P,11,FALSE())</f>
        <v>Под сварку встык DIN</v>
      </c>
      <c r="E20" s="105">
        <f>VLOOKUP(B20,ИСХОДНИК!A:P,7,FALSE())</f>
        <v>40</v>
      </c>
      <c r="F20" s="105">
        <v>4</v>
      </c>
      <c r="G20" s="135" t="s">
        <v>107</v>
      </c>
      <c r="H20" s="135" t="s">
        <v>108</v>
      </c>
      <c r="I20" s="135" t="s">
        <v>109</v>
      </c>
      <c r="J20" s="135" t="s">
        <v>114</v>
      </c>
      <c r="K20" s="136"/>
      <c r="L20" s="136"/>
      <c r="M20" s="137" t="str">
        <f>VLOOKUP(B20,ИСХОДНИК!A:P,10,FALSE())</f>
        <v>R717, R744 и фреоны</v>
      </c>
      <c r="N20" s="137">
        <f>VLOOKUP(B20,ИСХОДНИК!A:P,8,FALSE())</f>
        <v>52</v>
      </c>
      <c r="O20" s="137" t="str">
        <f>VLOOKUP(B20,ИСХОДНИК!A:P,9,FALSE())</f>
        <v xml:space="preserve"> -50…120</v>
      </c>
      <c r="P20" s="138"/>
      <c r="Q20" s="137"/>
      <c r="R20" s="105" t="str">
        <f>VLOOKUP(B20,ИСХОДНИК!A:P,15,FALSE())</f>
        <v>PR PL40R-Project</v>
      </c>
      <c r="S20" s="139">
        <f>VLOOKUP(B20,ИСХОДНИК!A:P,13,FALSE())</f>
        <v>1860000</v>
      </c>
      <c r="T20" s="139">
        <f>VLOOKUP(B20,ИСХОДНИК!A:P,14,FALSE())</f>
        <v>2157600</v>
      </c>
      <c r="U20" s="140" t="str">
        <f>IF(VLOOKUP(B20,ИСХОДНИК!A:R,18,FALSE())=1,ИСХОДНИК!$T$2,IF(VLOOKUP(B20,ИСХОДНИК!A:R,18,FALSE())=2,ИСХОДНИК!$T$5,IF(VLOOKUP(B20,ИСХОДНИК!A:R,18,FALSE())=3,ИСХОДНИК!$T$6)))</f>
        <v>○</v>
      </c>
    </row>
    <row r="21" spans="2:22" ht="30" customHeight="1">
      <c r="B21" s="97" t="s">
        <v>117</v>
      </c>
      <c r="C21" s="98" t="str">
        <f>VLOOKUP(B21,ИСХОДНИК!A:P,5,FALSE())</f>
        <v>ICF-R 25-4-7</v>
      </c>
      <c r="D21" s="134" t="str">
        <f>VLOOKUP(B21,ИСХОДНИК!A:P,11,FALSE())</f>
        <v>Под сварку встык DIN</v>
      </c>
      <c r="E21" s="105">
        <f>VLOOKUP(B21,ИСХОДНИК!A:P,7,FALSE())</f>
        <v>25</v>
      </c>
      <c r="F21" s="105">
        <v>4</v>
      </c>
      <c r="G21" s="135" t="s">
        <v>107</v>
      </c>
      <c r="H21" s="135" t="s">
        <v>108</v>
      </c>
      <c r="I21" s="135" t="s">
        <v>109</v>
      </c>
      <c r="J21" s="135" t="s">
        <v>118</v>
      </c>
      <c r="K21" s="136"/>
      <c r="L21" s="136"/>
      <c r="M21" s="137" t="str">
        <f>VLOOKUP(B21,ИСХОДНИК!A:P,10,FALSE())</f>
        <v>R717, R744 и фреоны</v>
      </c>
      <c r="N21" s="137">
        <f>VLOOKUP(B21,ИСХОДНИК!A:P,8,FALSE())</f>
        <v>52</v>
      </c>
      <c r="O21" s="137" t="str">
        <f>VLOOKUP(B21,ИСХОДНИК!A:P,9,FALSE())</f>
        <v xml:space="preserve"> -50…120</v>
      </c>
      <c r="P21" s="138"/>
      <c r="Q21" s="137"/>
      <c r="R21" s="105" t="str">
        <f>VLOOKUP(B21,ИСХОДНИК!A:P,15,FALSE())</f>
        <v>PR PL40R-Project</v>
      </c>
      <c r="S21" s="139">
        <f>VLOOKUP(B21,ИСХОДНИК!A:P,13,FALSE())</f>
        <v>1920000</v>
      </c>
      <c r="T21" s="139">
        <f>VLOOKUP(B21,ИСХОДНИК!A:P,14,FALSE())</f>
        <v>2227200</v>
      </c>
      <c r="U21" s="140" t="str">
        <f>IF(VLOOKUP(B21,ИСХОДНИК!A:R,18,FALSE())=1,ИСХОДНИК!$T$2,IF(VLOOKUP(B21,ИСХОДНИК!A:R,18,FALSE())=2,ИСХОДНИК!$T$5,IF(VLOOKUP(B21,ИСХОДНИК!A:R,18,FALSE())=3,ИСХОДНИК!$T$6)))</f>
        <v>○</v>
      </c>
    </row>
    <row r="22" spans="2:22" ht="30" customHeight="1">
      <c r="B22" s="97" t="s">
        <v>119</v>
      </c>
      <c r="C22" s="98" t="str">
        <f>VLOOKUP(B22,ИСХОДНИК!A:P,5,FALSE())</f>
        <v>ICF-R 32-4-7</v>
      </c>
      <c r="D22" s="134" t="str">
        <f>VLOOKUP(B22,ИСХОДНИК!A:P,11,FALSE())</f>
        <v>Под сварку встык DIN</v>
      </c>
      <c r="E22" s="105">
        <f>VLOOKUP(B22,ИСХОДНИК!A:P,7,FALSE())</f>
        <v>32</v>
      </c>
      <c r="F22" s="105">
        <v>4</v>
      </c>
      <c r="G22" s="135" t="s">
        <v>107</v>
      </c>
      <c r="H22" s="135" t="s">
        <v>108</v>
      </c>
      <c r="I22" s="135" t="s">
        <v>109</v>
      </c>
      <c r="J22" s="135" t="s">
        <v>118</v>
      </c>
      <c r="K22" s="136"/>
      <c r="L22" s="136"/>
      <c r="M22" s="137" t="str">
        <f>VLOOKUP(B22,ИСХОДНИК!A:P,10,FALSE())</f>
        <v>R717, R744 и фреоны</v>
      </c>
      <c r="N22" s="137">
        <f>VLOOKUP(B22,ИСХОДНИК!A:P,8,FALSE())</f>
        <v>52</v>
      </c>
      <c r="O22" s="137" t="str">
        <f>VLOOKUP(B22,ИСХОДНИК!A:P,9,FALSE())</f>
        <v xml:space="preserve"> -50…120</v>
      </c>
      <c r="P22" s="138"/>
      <c r="Q22" s="137"/>
      <c r="R22" s="105" t="str">
        <f>VLOOKUP(B22,ИСХОДНИК!A:P,15,FALSE())</f>
        <v>PR PL40R-Project</v>
      </c>
      <c r="S22" s="139">
        <f>VLOOKUP(B22,ИСХОДНИК!A:P,13,FALSE())</f>
        <v>2040000</v>
      </c>
      <c r="T22" s="139">
        <f>VLOOKUP(B22,ИСХОДНИК!A:P,14,FALSE())</f>
        <v>2366400</v>
      </c>
      <c r="U22" s="140" t="str">
        <f>IF(VLOOKUP(B22,ИСХОДНИК!A:R,18,FALSE())=1,ИСХОДНИК!$T$2,IF(VLOOKUP(B22,ИСХОДНИК!A:R,18,FALSE())=2,ИСХОДНИК!$T$5,IF(VLOOKUP(B22,ИСХОДНИК!A:R,18,FALSE())=3,ИСХОДНИК!$T$6)))</f>
        <v>○</v>
      </c>
    </row>
    <row r="23" spans="2:22" ht="30" customHeight="1">
      <c r="B23" s="97" t="s">
        <v>120</v>
      </c>
      <c r="C23" s="98" t="str">
        <f>VLOOKUP(B23,ИСХОДНИК!A:P,5,FALSE())</f>
        <v>ICF-R 40-4-7</v>
      </c>
      <c r="D23" s="134" t="str">
        <f>VLOOKUP(B23,ИСХОДНИК!A:P,11,FALSE())</f>
        <v>Под сварку встык DIN</v>
      </c>
      <c r="E23" s="105">
        <f>VLOOKUP(B23,ИСХОДНИК!A:P,7,FALSE())</f>
        <v>40</v>
      </c>
      <c r="F23" s="105">
        <v>4</v>
      </c>
      <c r="G23" s="135" t="s">
        <v>107</v>
      </c>
      <c r="H23" s="135" t="s">
        <v>108</v>
      </c>
      <c r="I23" s="135" t="s">
        <v>109</v>
      </c>
      <c r="J23" s="135" t="s">
        <v>118</v>
      </c>
      <c r="K23" s="136"/>
      <c r="L23" s="136"/>
      <c r="M23" s="137" t="str">
        <f>VLOOKUP(B23,ИСХОДНИК!A:P,10,FALSE())</f>
        <v>R717, R744 и фреоны</v>
      </c>
      <c r="N23" s="137">
        <f>VLOOKUP(B23,ИСХОДНИК!A:P,8,FALSE())</f>
        <v>52</v>
      </c>
      <c r="O23" s="137" t="str">
        <f>VLOOKUP(B23,ИСХОДНИК!A:P,9,FALSE())</f>
        <v xml:space="preserve"> -50…120</v>
      </c>
      <c r="P23" s="138"/>
      <c r="Q23" s="137"/>
      <c r="R23" s="105" t="str">
        <f>VLOOKUP(B23,ИСХОДНИК!A:P,15,FALSE())</f>
        <v>PR PL40R-Project</v>
      </c>
      <c r="S23" s="139">
        <f>VLOOKUP(B23,ИСХОДНИК!A:P,13,FALSE())</f>
        <v>2160000</v>
      </c>
      <c r="T23" s="139">
        <f>VLOOKUP(B23,ИСХОДНИК!A:P,14,FALSE())</f>
        <v>2505600</v>
      </c>
      <c r="U23" s="140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22" ht="28.5" customHeight="1">
      <c r="B24" s="97" t="s">
        <v>121</v>
      </c>
      <c r="C24" s="98" t="str">
        <f>VLOOKUP(B24,ИСХОДНИК!A:P,5,FALSE())</f>
        <v>ICF-R 25-4-5</v>
      </c>
      <c r="D24" s="134" t="str">
        <f>VLOOKUP(B24,ИСХОДНИК!A:P,11,FALSE())</f>
        <v>Под сварку встык DIN</v>
      </c>
      <c r="E24" s="105">
        <f>VLOOKUP(B24,ИСХОДНИК!A:P,7,FALSE())</f>
        <v>25</v>
      </c>
      <c r="F24" s="105">
        <v>4</v>
      </c>
      <c r="G24" s="135" t="s">
        <v>107</v>
      </c>
      <c r="H24" s="135" t="s">
        <v>108</v>
      </c>
      <c r="I24" s="135" t="s">
        <v>109</v>
      </c>
      <c r="J24" s="135" t="s">
        <v>122</v>
      </c>
      <c r="K24" s="136"/>
      <c r="L24" s="136"/>
      <c r="M24" s="137" t="str">
        <f>VLOOKUP(B24,ИСХОДНИК!A:P,10,FALSE())</f>
        <v>R717, R744 и фреоны</v>
      </c>
      <c r="N24" s="137">
        <f>VLOOKUP(B24,ИСХОДНИК!A:P,8,FALSE())</f>
        <v>52</v>
      </c>
      <c r="O24" s="137" t="str">
        <f>VLOOKUP(B24,ИСХОДНИК!A:P,9,FALSE())</f>
        <v xml:space="preserve"> -50…120</v>
      </c>
      <c r="P24" s="138">
        <v>0</v>
      </c>
      <c r="Q24" s="137"/>
      <c r="R24" s="105" t="str">
        <f>VLOOKUP(B24,ИСХОДНИК!A:P,15,FALSE())</f>
        <v>PR PL40R-Project</v>
      </c>
      <c r="S24" s="139">
        <f>VLOOKUP(B24,ИСХОДНИК!A:P,13,FALSE())</f>
        <v>1680000</v>
      </c>
      <c r="T24" s="139">
        <f>VLOOKUP(B24,ИСХОДНИК!A:P,14,FALSE())</f>
        <v>1948799.9999999998</v>
      </c>
      <c r="U24" s="140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22" ht="28.5" customHeight="1">
      <c r="B25" s="97" t="s">
        <v>123</v>
      </c>
      <c r="C25" s="98" t="str">
        <f>VLOOKUP(B25,ИСХОДНИК!A:P,5,FALSE())</f>
        <v>ICF-R 32-4-5</v>
      </c>
      <c r="D25" s="134" t="str">
        <f>VLOOKUP(B25,ИСХОДНИК!A:P,11,FALSE())</f>
        <v>Под сварку встык DIN</v>
      </c>
      <c r="E25" s="105">
        <f>VLOOKUP(B25,ИСХОДНИК!A:P,7,FALSE())</f>
        <v>32</v>
      </c>
      <c r="F25" s="105">
        <v>4</v>
      </c>
      <c r="G25" s="135" t="s">
        <v>107</v>
      </c>
      <c r="H25" s="135" t="s">
        <v>108</v>
      </c>
      <c r="I25" s="135" t="s">
        <v>109</v>
      </c>
      <c r="J25" s="135" t="s">
        <v>122</v>
      </c>
      <c r="K25" s="136"/>
      <c r="L25" s="136"/>
      <c r="M25" s="137" t="str">
        <f>VLOOKUP(B25,ИСХОДНИК!A:P,10,FALSE())</f>
        <v>R717, R744 и фреоны</v>
      </c>
      <c r="N25" s="137">
        <f>VLOOKUP(B25,ИСХОДНИК!A:P,8,FALSE())</f>
        <v>52</v>
      </c>
      <c r="O25" s="137" t="str">
        <f>VLOOKUP(B25,ИСХОДНИК!A:P,9,FALSE())</f>
        <v xml:space="preserve"> -50…120</v>
      </c>
      <c r="P25" s="137">
        <v>0</v>
      </c>
      <c r="Q25" s="137"/>
      <c r="R25" s="105" t="str">
        <f>VLOOKUP(B25,ИСХОДНИК!A:P,15,FALSE())</f>
        <v>PR PL40R-Project</v>
      </c>
      <c r="S25" s="139">
        <f>VLOOKUP(B25,ИСХОДНИК!A:P,13,FALSE())</f>
        <v>1800000</v>
      </c>
      <c r="T25" s="139">
        <f>VLOOKUP(B25,ИСХОДНИК!A:P,14,FALSE())</f>
        <v>2087999.9999999998</v>
      </c>
      <c r="U25" s="140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22" ht="28.5" customHeight="1">
      <c r="B26" s="97" t="s">
        <v>124</v>
      </c>
      <c r="C26" s="98" t="str">
        <f>VLOOKUP(B26,ИСХОДНИК!A:P,5,FALSE())</f>
        <v>ICF-R 40-4-5</v>
      </c>
      <c r="D26" s="134" t="str">
        <f>VLOOKUP(B26,ИСХОДНИК!A:P,11,FALSE())</f>
        <v>Под сварку встык DIN</v>
      </c>
      <c r="E26" s="105">
        <f>VLOOKUP(B26,ИСХОДНИК!A:P,7,FALSE())</f>
        <v>40</v>
      </c>
      <c r="F26" s="105">
        <v>4</v>
      </c>
      <c r="G26" s="135" t="s">
        <v>107</v>
      </c>
      <c r="H26" s="135" t="s">
        <v>108</v>
      </c>
      <c r="I26" s="135" t="s">
        <v>109</v>
      </c>
      <c r="J26" s="135" t="s">
        <v>122</v>
      </c>
      <c r="K26" s="136"/>
      <c r="L26" s="136"/>
      <c r="M26" s="137" t="str">
        <f>VLOOKUP(B26,ИСХОДНИК!A:P,10,FALSE())</f>
        <v>R717, R744 и фреоны</v>
      </c>
      <c r="N26" s="137">
        <f>VLOOKUP(B26,ИСХОДНИК!A:P,8,FALSE())</f>
        <v>52</v>
      </c>
      <c r="O26" s="137" t="str">
        <f>VLOOKUP(B26,ИСХОДНИК!A:P,9,FALSE())</f>
        <v xml:space="preserve"> -50…120</v>
      </c>
      <c r="P26" s="137">
        <v>0.2</v>
      </c>
      <c r="Q26" s="137"/>
      <c r="R26" s="105" t="str">
        <f>VLOOKUP(B26,ИСХОДНИК!A:P,15,FALSE())</f>
        <v>PR PL40R-Project</v>
      </c>
      <c r="S26" s="139">
        <f>VLOOKUP(B26,ИСХОДНИК!A:P,13,FALSE())</f>
        <v>1980000</v>
      </c>
      <c r="T26" s="139">
        <f>VLOOKUP(B26,ИСХОДНИК!A:P,14,FALSE())</f>
        <v>2296800</v>
      </c>
      <c r="U26" s="140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22" ht="28.5" hidden="1" customHeight="1">
      <c r="B27" s="97" t="s">
        <v>125</v>
      </c>
      <c r="C27" s="143" t="str">
        <f>VLOOKUP(B27,ИСХОДНИК!A:P,5,FALSE())</f>
        <v>ICF-R 25-6-1</v>
      </c>
      <c r="D27" s="134" t="str">
        <f>VLOOKUP(B27,ИСХОДНИК!A:P,11,FALSE())</f>
        <v>Под сварку встык DIN</v>
      </c>
      <c r="E27" s="105">
        <f>VLOOKUP(B27,ИСХОДНИК!A:P,7,FALSE())</f>
        <v>25</v>
      </c>
      <c r="F27" s="105">
        <v>6</v>
      </c>
      <c r="G27" s="135" t="s">
        <v>107</v>
      </c>
      <c r="H27" s="135" t="s">
        <v>108</v>
      </c>
      <c r="I27" s="135" t="s">
        <v>109</v>
      </c>
      <c r="J27" s="135" t="s">
        <v>122</v>
      </c>
      <c r="K27" s="135" t="s">
        <v>114</v>
      </c>
      <c r="L27" s="135" t="s">
        <v>110</v>
      </c>
      <c r="M27" s="137" t="str">
        <f>VLOOKUP(B27,ИСХОДНИК!A:P,10,FALSE())</f>
        <v>R717, R744 и фреоны</v>
      </c>
      <c r="N27" s="137">
        <f>VLOOKUP(B27,ИСХОДНИК!A:P,8,FALSE())</f>
        <v>52</v>
      </c>
      <c r="O27" s="137" t="str">
        <f>VLOOKUP(B27,ИСХОДНИК!A:P,9,FALSE())</f>
        <v xml:space="preserve"> -50…120</v>
      </c>
      <c r="P27" s="137">
        <v>0.2</v>
      </c>
      <c r="Q27" s="137"/>
      <c r="R27" s="105" t="str">
        <f>VLOOKUP(B27,ИСХОДНИК!A:P,15,FALSE())</f>
        <v>PR PL40R-Project</v>
      </c>
      <c r="S27" s="99">
        <f>VLOOKUP(B27,ИСХОДНИК!A:P,13,FALSE())</f>
        <v>2100000</v>
      </c>
      <c r="T27" s="99">
        <f>VLOOKUP(B27,ИСХОДНИК!A:P,14,FALSE())</f>
        <v>2436000</v>
      </c>
      <c r="U27" s="104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2" ht="28.5" hidden="1" customHeight="1">
      <c r="B28" s="97" t="s">
        <v>126</v>
      </c>
      <c r="C28" s="143" t="str">
        <f>VLOOKUP(B28,ИСХОДНИК!A:P,5,FALSE())</f>
        <v xml:space="preserve"> ICF-R 32-6-1</v>
      </c>
      <c r="D28" s="134" t="str">
        <f>VLOOKUP(B28,ИСХОДНИК!A:P,11,FALSE())</f>
        <v>Под сварку встык DIN</v>
      </c>
      <c r="E28" s="105">
        <f>VLOOKUP(B28,ИСХОДНИК!A:P,7,FALSE())</f>
        <v>32</v>
      </c>
      <c r="F28" s="105">
        <v>6</v>
      </c>
      <c r="G28" s="135" t="s">
        <v>107</v>
      </c>
      <c r="H28" s="135" t="s">
        <v>108</v>
      </c>
      <c r="I28" s="135" t="s">
        <v>109</v>
      </c>
      <c r="J28" s="135" t="s">
        <v>122</v>
      </c>
      <c r="K28" s="135" t="s">
        <v>114</v>
      </c>
      <c r="L28" s="135" t="s">
        <v>110</v>
      </c>
      <c r="M28" s="137" t="str">
        <f>VLOOKUP(B28,ИСХОДНИК!A:P,10,FALSE())</f>
        <v>R717, R744 и фреоны</v>
      </c>
      <c r="N28" s="137">
        <f>VLOOKUP(B28,ИСХОДНИК!A:P,8,FALSE())</f>
        <v>52</v>
      </c>
      <c r="O28" s="137" t="str">
        <f>VLOOKUP(B28,ИСХОДНИК!A:P,9,FALSE())</f>
        <v xml:space="preserve"> -50…120</v>
      </c>
      <c r="P28" s="137">
        <v>0.2</v>
      </c>
      <c r="Q28" s="137"/>
      <c r="R28" s="105" t="str">
        <f>VLOOKUP(B28,ИСХОДНИК!A:P,15,FALSE())</f>
        <v>PR PL40R-Project</v>
      </c>
      <c r="S28" s="99">
        <f>VLOOKUP(B28,ИСХОДНИК!A:P,13,FALSE())</f>
        <v>2280000</v>
      </c>
      <c r="T28" s="99">
        <f>VLOOKUP(B28,ИСХОДНИК!A:P,14,FALSE())</f>
        <v>2644800</v>
      </c>
      <c r="U28" s="104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22" ht="28.5" hidden="1" customHeight="1">
      <c r="B29" s="97" t="s">
        <v>127</v>
      </c>
      <c r="C29" s="143" t="str">
        <f>VLOOKUP(B29,ИСХОДНИК!A:P,5,FALSE())</f>
        <v>ICF-R 40-6-1</v>
      </c>
      <c r="D29" s="134" t="str">
        <f>VLOOKUP(B29,ИСХОДНИК!A:P,11,FALSE())</f>
        <v>Под сварку встык DIN</v>
      </c>
      <c r="E29" s="105">
        <f>VLOOKUP(B29,ИСХОДНИК!A:P,7,FALSE())</f>
        <v>40</v>
      </c>
      <c r="F29" s="105">
        <v>6</v>
      </c>
      <c r="G29" s="135" t="s">
        <v>107</v>
      </c>
      <c r="H29" s="135" t="s">
        <v>108</v>
      </c>
      <c r="I29" s="135" t="s">
        <v>109</v>
      </c>
      <c r="J29" s="135" t="s">
        <v>122</v>
      </c>
      <c r="K29" s="135" t="s">
        <v>114</v>
      </c>
      <c r="L29" s="135" t="s">
        <v>110</v>
      </c>
      <c r="M29" s="137" t="str">
        <f>VLOOKUP(B29,ИСХОДНИК!A:P,10,FALSE())</f>
        <v>R717, R744 и фреоны</v>
      </c>
      <c r="N29" s="137">
        <f>VLOOKUP(B29,ИСХОДНИК!A:P,8,FALSE())</f>
        <v>52</v>
      </c>
      <c r="O29" s="137" t="str">
        <f>VLOOKUP(B29,ИСХОДНИК!A:P,9,FALSE())</f>
        <v xml:space="preserve"> -50…120</v>
      </c>
      <c r="P29" s="137">
        <v>0.2</v>
      </c>
      <c r="Q29" s="137"/>
      <c r="R29" s="105" t="str">
        <f>VLOOKUP(B29,ИСХОДНИК!A:P,15,FALSE())</f>
        <v>PR PL40R-Project</v>
      </c>
      <c r="S29" s="99">
        <f>VLOOKUP(B29,ИСХОДНИК!A:P,13,FALSE())</f>
        <v>2400000</v>
      </c>
      <c r="T29" s="99">
        <f>VLOOKUP(B29,ИСХОДНИК!A:P,14,FALSE())</f>
        <v>2784000</v>
      </c>
      <c r="U29" s="104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22" ht="13.5">
      <c r="B30" s="144" t="s">
        <v>128</v>
      </c>
      <c r="C30" s="145"/>
      <c r="D30" s="146"/>
      <c r="E30" s="145"/>
      <c r="F30" s="145"/>
      <c r="G30" s="145"/>
      <c r="H30" s="145"/>
      <c r="I30" s="145"/>
      <c r="J30" s="145"/>
      <c r="K30" s="145"/>
      <c r="L30" s="145"/>
      <c r="M30" s="147"/>
      <c r="N30" s="147"/>
      <c r="O30" s="147"/>
      <c r="P30" s="147"/>
      <c r="Q30" s="147"/>
      <c r="R30" s="145"/>
      <c r="S30" s="148"/>
      <c r="T30" s="148"/>
      <c r="U30" s="149"/>
      <c r="V30" s="150"/>
    </row>
    <row r="31" spans="2:22" ht="23.25" customHeight="1">
      <c r="B31" s="151" t="s">
        <v>129</v>
      </c>
    </row>
    <row r="32" spans="2:22" ht="32.75" customHeight="1">
      <c r="B32" s="95" t="s">
        <v>72</v>
      </c>
      <c r="C32" s="494" t="s">
        <v>90</v>
      </c>
      <c r="D32" s="494"/>
      <c r="E32" s="494"/>
      <c r="F32" s="494"/>
      <c r="G32" s="95" t="s">
        <v>130</v>
      </c>
      <c r="H32" s="130" t="s">
        <v>131</v>
      </c>
      <c r="I32" s="95" t="s">
        <v>132</v>
      </c>
      <c r="J32" s="95" t="s">
        <v>133</v>
      </c>
      <c r="K32" s="95"/>
      <c r="L32" s="95" t="s">
        <v>132</v>
      </c>
      <c r="M32" s="494" t="s">
        <v>134</v>
      </c>
      <c r="N32" s="494"/>
      <c r="O32" s="494"/>
      <c r="P32" s="95" t="s">
        <v>135</v>
      </c>
      <c r="Q32" s="95" t="s">
        <v>136</v>
      </c>
      <c r="R32" s="95" t="s">
        <v>67</v>
      </c>
      <c r="S32" s="95" t="s">
        <v>74</v>
      </c>
      <c r="T32" s="95" t="s">
        <v>75</v>
      </c>
      <c r="U32" s="152" t="s">
        <v>55</v>
      </c>
    </row>
    <row r="33" spans="2:21" ht="22.5" customHeight="1">
      <c r="B33" s="153" t="s">
        <v>137</v>
      </c>
      <c r="C33" s="495" t="str">
        <f>VLOOKUP(B33,ИСХОДНИК!A:P,5,FALSE())</f>
        <v>BE230AS</v>
      </c>
      <c r="D33" s="495"/>
      <c r="E33" s="495"/>
      <c r="F33" s="495"/>
      <c r="G33" s="105">
        <v>220</v>
      </c>
      <c r="H33" s="154">
        <v>50</v>
      </c>
      <c r="I33" s="137" t="s">
        <v>138</v>
      </c>
      <c r="J33" s="105">
        <v>10</v>
      </c>
      <c r="K33" s="105"/>
      <c r="L33" s="137" t="s">
        <v>138</v>
      </c>
      <c r="M33" s="496" t="s">
        <v>139</v>
      </c>
      <c r="N33" s="496"/>
      <c r="O33" s="496"/>
      <c r="P33" s="105">
        <v>39</v>
      </c>
      <c r="Q33" s="105">
        <v>46.8</v>
      </c>
      <c r="R33" s="105" t="str">
        <f>VLOOKUP(B33,ИСХОДНИК!A:P,15,FALSE())</f>
        <v>U6 PL40R</v>
      </c>
      <c r="S33" s="139">
        <f>VLOOKUP(B33,ИСХОДНИК!A:P,13,FALSE())</f>
        <v>21000</v>
      </c>
      <c r="T33" s="139">
        <f>VLOOKUP(B33,ИСХОДНИК!A:P,14,FALSE())</f>
        <v>24360</v>
      </c>
      <c r="U33" s="140" t="str">
        <f>IF(VLOOKUP(B33,ИСХОДНИК!A:R,18,FALSE())=1,ИСХОДНИК!$T$2,IF(VLOOKUP(B33,ИСХОДНИК!A:R,18,FALSE())=2,ИСХОДНИК!$T$5,IF(VLOOKUP(B33,ИСХОДНИК!A:R,18,FALSE())=3,ИСХОДНИК!$T$6)))</f>
        <v>●</v>
      </c>
    </row>
    <row r="34" spans="2:21" ht="22.5" customHeight="1">
      <c r="B34" s="153" t="s">
        <v>140</v>
      </c>
      <c r="C34" s="495" t="str">
        <f>VLOOKUP(B34,ИСХОДНИК!A:P,5,FALSE())</f>
        <v>BE024AS</v>
      </c>
      <c r="D34" s="495"/>
      <c r="E34" s="495"/>
      <c r="F34" s="495"/>
      <c r="G34" s="105">
        <v>24</v>
      </c>
      <c r="H34" s="154">
        <v>50</v>
      </c>
      <c r="I34" s="137" t="s">
        <v>138</v>
      </c>
      <c r="J34" s="105">
        <v>10</v>
      </c>
      <c r="K34" s="105"/>
      <c r="L34" s="137" t="s">
        <v>138</v>
      </c>
      <c r="M34" s="496" t="s">
        <v>139</v>
      </c>
      <c r="N34" s="496"/>
      <c r="O34" s="496"/>
      <c r="P34" s="105"/>
      <c r="Q34" s="105"/>
      <c r="R34" s="105" t="str">
        <f>VLOOKUP(B34,ИСХОДНИК!A:P,15,FALSE())</f>
        <v>U6 PL40R</v>
      </c>
      <c r="S34" s="139">
        <f>VLOOKUP(B34,ИСХОДНИК!A:P,13,FALSE())</f>
        <v>27000</v>
      </c>
      <c r="T34" s="139">
        <f>VLOOKUP(B34,ИСХОДНИК!A:P,14,FALSE())</f>
        <v>31319.999999999996</v>
      </c>
      <c r="U34" s="140" t="str">
        <f>IF(VLOOKUP(B34,ИСХОДНИК!A:R,18,FALSE())=1,ИСХОДНИК!$T$2,IF(VLOOKUP(B34,ИСХОДНИК!A:R,18,FALSE())=2,ИСХОДНИК!$T$5,IF(VLOOKUP(B34,ИСХОДНИК!A:R,18,FALSE())=3,ИСХОДНИК!$T$6)))</f>
        <v>○</v>
      </c>
    </row>
    <row r="35" spans="2:21" ht="17.5">
      <c r="B35" s="153" t="s">
        <v>141</v>
      </c>
      <c r="C35" s="495" t="str">
        <f>VLOOKUP(B35,ИСХОДНИК!A:P,5,FALSE())</f>
        <v>BN230AS</v>
      </c>
      <c r="D35" s="495"/>
      <c r="E35" s="495"/>
      <c r="F35" s="495"/>
      <c r="G35" s="105">
        <v>220</v>
      </c>
      <c r="H35" s="154">
        <v>50</v>
      </c>
      <c r="I35" s="137" t="s">
        <v>138</v>
      </c>
      <c r="J35" s="105">
        <v>18</v>
      </c>
      <c r="K35" s="105"/>
      <c r="L35" s="137" t="s">
        <v>138</v>
      </c>
      <c r="M35" s="496" t="s">
        <v>142</v>
      </c>
      <c r="N35" s="496"/>
      <c r="O35" s="496"/>
      <c r="P35" s="105">
        <v>39</v>
      </c>
      <c r="Q35" s="105">
        <v>46.8</v>
      </c>
      <c r="R35" s="105" t="str">
        <f>VLOOKUP(B35,ИСХОДНИК!A:P,15,FALSE())</f>
        <v>U6 PL40R</v>
      </c>
      <c r="S35" s="139">
        <f>VLOOKUP(B35,ИСХОДНИК!A:P,13,FALSE())</f>
        <v>35400</v>
      </c>
      <c r="T35" s="139">
        <f>VLOOKUP(B35,ИСХОДНИК!A:P,14,FALSE())</f>
        <v>41064</v>
      </c>
      <c r="U35" s="104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</sheetData>
  <autoFilter ref="B12:U12" xr:uid="{00000000-0009-0000-0000-000002000000}"/>
  <mergeCells count="12">
    <mergeCell ref="C33:F33"/>
    <mergeCell ref="M33:O33"/>
    <mergeCell ref="C34:F34"/>
    <mergeCell ref="M34:O34"/>
    <mergeCell ref="C35:F35"/>
    <mergeCell ref="M35:O35"/>
    <mergeCell ref="B2:M2"/>
    <mergeCell ref="B3:J3"/>
    <mergeCell ref="R10:U10"/>
    <mergeCell ref="G11:L11"/>
    <mergeCell ref="C32:F32"/>
    <mergeCell ref="M32:O32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23"/>
  <sheetViews>
    <sheetView showGridLines="0" topLeftCell="A4" zoomScaleNormal="100" workbookViewId="0">
      <selection activeCell="S110" sqref="S110"/>
    </sheetView>
  </sheetViews>
  <sheetFormatPr defaultColWidth="9.1796875" defaultRowHeight="12" customHeight="1"/>
  <cols>
    <col min="1" max="1" width="2.1796875" style="107" customWidth="1"/>
    <col min="2" max="2" width="16.1796875" style="108" customWidth="1"/>
    <col min="3" max="3" width="22.1796875" style="107" customWidth="1"/>
    <col min="4" max="4" width="17.453125" style="107" customWidth="1"/>
    <col min="5" max="5" width="25" style="107" customWidth="1"/>
    <col min="6" max="6" width="9.1796875" style="107"/>
    <col min="7" max="7" width="23.1796875" style="107" customWidth="1"/>
    <col min="8" max="8" width="10.54296875" style="107" customWidth="1"/>
    <col min="9" max="9" width="17.7265625" style="107" customWidth="1"/>
    <col min="10" max="10" width="17.54296875" style="107" customWidth="1"/>
    <col min="11" max="11" width="12.7265625" style="107" customWidth="1"/>
    <col min="12" max="12" width="12.54296875" style="107" customWidth="1"/>
    <col min="13" max="13" width="6.7265625" style="107" customWidth="1"/>
    <col min="14" max="14" width="6.1796875" style="107" customWidth="1"/>
    <col min="15" max="15" width="5.453125" style="107" customWidth="1"/>
    <col min="16" max="16" width="8.1796875" style="107" customWidth="1"/>
    <col min="17" max="17" width="13.54296875" style="107" customWidth="1"/>
    <col min="18" max="18" width="12.54296875" style="107" customWidth="1"/>
    <col min="19" max="19" width="13.1796875" style="107" customWidth="1"/>
    <col min="20" max="20" width="12.7265625" style="107" customWidth="1"/>
    <col min="21" max="16384" width="9.1796875" style="107"/>
  </cols>
  <sheetData>
    <row r="1" spans="1:20" ht="11.25" customHeight="1"/>
    <row r="2" spans="1:20" ht="42" customHeight="1">
      <c r="B2" s="155" t="s">
        <v>143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7"/>
      <c r="O2" s="497" t="s">
        <v>144</v>
      </c>
      <c r="P2" s="497"/>
      <c r="Q2" s="497"/>
      <c r="R2" s="497"/>
      <c r="S2" s="497"/>
      <c r="T2" s="497"/>
    </row>
    <row r="3" spans="1:20" ht="69" customHeight="1">
      <c r="B3" s="491" t="s">
        <v>145</v>
      </c>
      <c r="C3" s="491"/>
      <c r="D3" s="491"/>
      <c r="E3" s="491"/>
      <c r="F3" s="491"/>
      <c r="G3" s="491"/>
      <c r="H3" s="491"/>
      <c r="I3" s="158"/>
      <c r="J3" s="158"/>
      <c r="K3" s="158"/>
      <c r="L3" s="158"/>
      <c r="M3" s="114"/>
      <c r="O3" s="159"/>
      <c r="P3" s="160"/>
      <c r="Q3" s="498"/>
      <c r="R3" s="498"/>
      <c r="S3" s="161"/>
      <c r="T3" s="162"/>
    </row>
    <row r="4" spans="1:20" ht="11.25" customHeight="1">
      <c r="B4" s="76" t="s">
        <v>58</v>
      </c>
      <c r="C4" s="115" t="s">
        <v>59</v>
      </c>
      <c r="D4" s="163"/>
      <c r="E4" s="164"/>
      <c r="G4" s="116"/>
      <c r="H4" s="120"/>
      <c r="I4" s="158"/>
      <c r="J4" s="158"/>
      <c r="K4" s="158"/>
      <c r="L4" s="158"/>
      <c r="M4" s="114"/>
      <c r="O4" s="159"/>
      <c r="P4" s="160"/>
      <c r="Q4" s="498"/>
      <c r="R4" s="498"/>
      <c r="S4" s="165"/>
      <c r="T4" s="166"/>
    </row>
    <row r="5" spans="1:20" ht="11.25" customHeight="1">
      <c r="B5" s="78" t="s">
        <v>61</v>
      </c>
      <c r="C5" s="115" t="s">
        <v>62</v>
      </c>
      <c r="D5" s="163"/>
      <c r="E5" s="164"/>
      <c r="F5" s="116"/>
      <c r="G5" s="116"/>
      <c r="H5" s="120"/>
      <c r="I5" s="158"/>
      <c r="J5" s="158"/>
      <c r="K5" s="158"/>
      <c r="L5" s="158"/>
      <c r="M5" s="114"/>
      <c r="O5" s="159"/>
      <c r="P5" s="160"/>
      <c r="Q5" s="498"/>
      <c r="R5" s="498"/>
      <c r="S5" s="165"/>
      <c r="T5" s="166"/>
    </row>
    <row r="6" spans="1:20" ht="11.25" customHeight="1">
      <c r="B6" s="80" t="s">
        <v>65</v>
      </c>
      <c r="C6" s="115" t="s">
        <v>66</v>
      </c>
      <c r="D6" s="163"/>
      <c r="E6" s="164"/>
      <c r="F6" s="116"/>
      <c r="G6" s="116"/>
      <c r="H6" s="120"/>
      <c r="I6" s="158"/>
      <c r="J6" s="158"/>
      <c r="K6" s="158"/>
      <c r="L6" s="158"/>
      <c r="M6" s="114"/>
      <c r="O6" s="159"/>
      <c r="P6" s="160"/>
      <c r="Q6" s="498"/>
      <c r="R6" s="498"/>
      <c r="S6" s="30"/>
      <c r="T6" s="29"/>
    </row>
    <row r="7" spans="1:20" ht="11.25" customHeight="1">
      <c r="B7" s="80"/>
      <c r="C7" s="115"/>
      <c r="D7" s="163"/>
      <c r="E7" s="164"/>
      <c r="F7" s="116"/>
      <c r="G7" s="116"/>
      <c r="H7" s="120"/>
      <c r="I7" s="158"/>
      <c r="J7" s="158"/>
      <c r="K7" s="158"/>
      <c r="L7" s="158"/>
      <c r="M7" s="114"/>
      <c r="O7" s="159"/>
      <c r="P7" s="160"/>
      <c r="Q7" s="498"/>
      <c r="R7" s="498"/>
      <c r="S7" s="30"/>
      <c r="T7" s="29"/>
    </row>
    <row r="8" spans="1:20" ht="15" customHeight="1">
      <c r="A8" s="121"/>
      <c r="B8" s="122"/>
      <c r="C8" s="119"/>
      <c r="D8" s="119"/>
      <c r="E8" s="119"/>
      <c r="F8" s="120"/>
      <c r="G8" s="120"/>
      <c r="H8" s="120"/>
      <c r="I8" s="158"/>
      <c r="J8" s="158"/>
      <c r="K8" s="158"/>
      <c r="L8" s="158"/>
      <c r="M8" s="114"/>
      <c r="O8" s="167"/>
      <c r="P8" s="168"/>
      <c r="Q8" s="498"/>
      <c r="R8" s="498"/>
      <c r="S8" s="165"/>
      <c r="T8" s="166"/>
    </row>
    <row r="9" spans="1:20" ht="15" customHeight="1">
      <c r="A9" s="121"/>
      <c r="B9" s="122"/>
      <c r="C9" s="74"/>
      <c r="D9" s="74"/>
      <c r="E9" s="74"/>
      <c r="F9" s="123"/>
      <c r="G9" s="123"/>
      <c r="H9" s="120"/>
      <c r="I9" s="158"/>
      <c r="J9" s="158"/>
      <c r="K9" s="158"/>
      <c r="L9" s="158"/>
      <c r="M9" s="114"/>
      <c r="O9" s="169"/>
      <c r="P9" s="170"/>
      <c r="Q9" s="498"/>
      <c r="R9" s="498"/>
      <c r="S9" s="171"/>
      <c r="T9" s="172"/>
    </row>
    <row r="10" spans="1:20" s="173" customFormat="1" ht="21.75" customHeight="1">
      <c r="B10" s="174" t="s">
        <v>146</v>
      </c>
      <c r="C10" s="175"/>
      <c r="D10" s="175"/>
      <c r="E10" s="175"/>
      <c r="F10" s="175"/>
      <c r="G10" s="175"/>
      <c r="H10" s="175"/>
      <c r="I10" s="175"/>
      <c r="J10" s="499"/>
      <c r="K10" s="499"/>
      <c r="L10" s="499"/>
      <c r="M10" s="499"/>
      <c r="O10" s="500" t="s">
        <v>147</v>
      </c>
      <c r="P10" s="501" t="s">
        <v>81</v>
      </c>
      <c r="Q10" s="502" t="s">
        <v>148</v>
      </c>
      <c r="R10" s="502"/>
      <c r="S10" s="503" t="s">
        <v>149</v>
      </c>
      <c r="T10" s="503"/>
    </row>
    <row r="11" spans="1:20" ht="38.25" customHeight="1">
      <c r="B11" s="95" t="s">
        <v>72</v>
      </c>
      <c r="C11" s="95" t="s">
        <v>90</v>
      </c>
      <c r="D11" s="95" t="s">
        <v>150</v>
      </c>
      <c r="E11" s="95" t="s">
        <v>91</v>
      </c>
      <c r="F11" s="95" t="s">
        <v>81</v>
      </c>
      <c r="G11" s="95" t="s">
        <v>84</v>
      </c>
      <c r="H11" s="95" t="s">
        <v>82</v>
      </c>
      <c r="I11" s="95" t="s">
        <v>83</v>
      </c>
      <c r="J11" s="95" t="s">
        <v>67</v>
      </c>
      <c r="K11" s="95" t="s">
        <v>74</v>
      </c>
      <c r="L11" s="95" t="s">
        <v>75</v>
      </c>
      <c r="M11" s="176" t="s">
        <v>55</v>
      </c>
      <c r="O11" s="500"/>
      <c r="P11" s="501"/>
      <c r="Q11" s="177" t="s">
        <v>151</v>
      </c>
      <c r="R11" s="178" t="s">
        <v>152</v>
      </c>
      <c r="S11" s="179" t="s">
        <v>151</v>
      </c>
      <c r="T11" s="180" t="s">
        <v>152</v>
      </c>
    </row>
    <row r="12" spans="1:20" ht="22.5" customHeight="1">
      <c r="B12" s="97" t="s">
        <v>153</v>
      </c>
      <c r="C12" s="98" t="str">
        <f>VLOOKUP(B12,ИСХОДНИК!A:P,5,FALSE())</f>
        <v>SVA 15 D STR PN 52</v>
      </c>
      <c r="D12" s="105" t="str">
        <f>VLOOKUP(B12,ИСХОДНИК!A:P,6,FALSE())</f>
        <v>Прямой</v>
      </c>
      <c r="E12" s="134" t="str">
        <f>VLOOKUP(B12,ИСХОДНИК!A:P,11,FALSE())</f>
        <v>Под сварку встык DIN</v>
      </c>
      <c r="F12" s="105">
        <f>VLOOKUP(B12,ИСХОДНИК!A:P,7,FALSE())</f>
        <v>15</v>
      </c>
      <c r="G12" s="137" t="str">
        <f>VLOOKUP(B12,ИСХОДНИК!A:P,10,FALSE())</f>
        <v>R717, R744 и фреоны</v>
      </c>
      <c r="H12" s="137">
        <f>VLOOKUP(B12,ИСХОДНИК!A:P,8,FALSE())</f>
        <v>52</v>
      </c>
      <c r="I12" s="137" t="str">
        <f>VLOOKUP(B12,ИСХОДНИК!A:P,9,FALSE())</f>
        <v xml:space="preserve"> -60…120</v>
      </c>
      <c r="J12" s="105" t="str">
        <f>VLOOKUP(B12,ИСХОДНИК!A:P,15,FALSE())</f>
        <v>U6 PL40R</v>
      </c>
      <c r="K12" s="139">
        <f>VLOOKUP(B12,ИСХОДНИК!A:P,13,FALSE())</f>
        <v>28800</v>
      </c>
      <c r="L12" s="139">
        <f>VLOOKUP(B12,ИСХОДНИК!A:P,14,FALSE())</f>
        <v>33408</v>
      </c>
      <c r="M12" s="140" t="str">
        <f>IF(VLOOKUP(B12,ИСХОДНИК!$A:$R,18,FALSE())=1,ИСХОДНИК!$T$2,IF(VLOOKUP(B12,ИСХОДНИК!A:R,18,FALSE())=2,ИСХОДНИК!$T$5,IF(VLOOKUP(B12,ИСХОДНИК!A:R,18,FALSE())=3,ИСХОДНИК!$T$6)))</f>
        <v>●</v>
      </c>
      <c r="O12" s="181">
        <v>1</v>
      </c>
      <c r="P12" s="182">
        <v>15</v>
      </c>
      <c r="Q12" s="183">
        <v>21.3</v>
      </c>
      <c r="R12" s="184">
        <v>2.2999999999999998</v>
      </c>
      <c r="S12" s="185">
        <v>18</v>
      </c>
      <c r="T12" s="185">
        <v>2.5</v>
      </c>
    </row>
    <row r="13" spans="1:20" ht="22.5" customHeight="1">
      <c r="B13" s="97" t="s">
        <v>154</v>
      </c>
      <c r="C13" s="98" t="str">
        <f>VLOOKUP(B13,ИСХОДНИК!A:P,5,FALSE())</f>
        <v>SVA 20 D STR PN 52</v>
      </c>
      <c r="D13" s="105" t="str">
        <f>VLOOKUP(B13,ИСХОДНИК!A:P,6,FALSE())</f>
        <v>Прямой</v>
      </c>
      <c r="E13" s="134" t="str">
        <f>VLOOKUP(B13,ИСХОДНИК!A:P,11,FALSE())</f>
        <v>Под сварку встык DIN</v>
      </c>
      <c r="F13" s="105">
        <f>VLOOKUP(B13,ИСХОДНИК!A:P,7,FALSE())</f>
        <v>20</v>
      </c>
      <c r="G13" s="137" t="str">
        <f>VLOOKUP(B13,ИСХОДНИК!A:P,10,FALSE())</f>
        <v>R717, R744 и фреоны</v>
      </c>
      <c r="H13" s="137">
        <f>VLOOKUP(B13,ИСХОДНИК!A:P,8,FALSE())</f>
        <v>52</v>
      </c>
      <c r="I13" s="137" t="str">
        <f>VLOOKUP(B13,ИСХОДНИК!A:P,9,FALSE())</f>
        <v xml:space="preserve"> -60…120</v>
      </c>
      <c r="J13" s="105" t="str">
        <f>VLOOKUP(B13,ИСХОДНИК!A:P,15,FALSE())</f>
        <v>U6 PL40R</v>
      </c>
      <c r="K13" s="139">
        <f>VLOOKUP(B13,ИСХОДНИК!A:P,13,FALSE())</f>
        <v>32400</v>
      </c>
      <c r="L13" s="139">
        <f>VLOOKUP(B13,ИСХОДНИК!A:P,14,FALSE())</f>
        <v>37584</v>
      </c>
      <c r="M13" s="140" t="str">
        <f>IF(VLOOKUP(B13,ИСХОДНИК!$A:$R,18,FALSE())=1,ИСХОДНИК!$T$2,IF(VLOOKUP(B13,ИСХОДНИК!A:R,18,FALSE())=2,ИСХОДНИК!$T$5,IF(VLOOKUP(B13,ИСХОДНИК!A:R,18,FALSE())=3,ИСХОДНИК!$T$6)))</f>
        <v>●</v>
      </c>
      <c r="O13" s="105">
        <v>2</v>
      </c>
      <c r="P13" s="182">
        <v>20</v>
      </c>
      <c r="Q13" s="183">
        <v>26.9</v>
      </c>
      <c r="R13" s="184">
        <v>2.2999999999999998</v>
      </c>
      <c r="S13" s="185">
        <v>25</v>
      </c>
      <c r="T13" s="185">
        <v>2.5</v>
      </c>
    </row>
    <row r="14" spans="1:20" ht="22.5" customHeight="1">
      <c r="B14" s="97" t="s">
        <v>155</v>
      </c>
      <c r="C14" s="98" t="str">
        <f>VLOOKUP(B14,ИСХОДНИК!A:P,5,FALSE())</f>
        <v>SVA 25 D STR PN 52</v>
      </c>
      <c r="D14" s="105" t="str">
        <f>VLOOKUP(B14,ИСХОДНИК!A:P,6,FALSE())</f>
        <v>Прямой</v>
      </c>
      <c r="E14" s="134" t="str">
        <f>VLOOKUP(B14,ИСХОДНИК!A:P,11,FALSE())</f>
        <v>Под сварку встык DIN</v>
      </c>
      <c r="F14" s="105">
        <f>VLOOKUP(B14,ИСХОДНИК!A:P,7,FALSE())</f>
        <v>25</v>
      </c>
      <c r="G14" s="137" t="str">
        <f>VLOOKUP(B14,ИСХОДНИК!A:P,10,FALSE())</f>
        <v>R717, R744 и фреоны</v>
      </c>
      <c r="H14" s="137">
        <f>VLOOKUP(B14,ИСХОДНИК!A:P,8,FALSE())</f>
        <v>52</v>
      </c>
      <c r="I14" s="137" t="str">
        <f>VLOOKUP(B14,ИСХОДНИК!A:P,9,FALSE())</f>
        <v xml:space="preserve"> -60…120</v>
      </c>
      <c r="J14" s="105" t="str">
        <f>VLOOKUP(B14,ИСХОДНИК!A:P,15,FALSE())</f>
        <v>U6 PL40R</v>
      </c>
      <c r="K14" s="139">
        <f>VLOOKUP(B14,ИСХОДНИК!A:P,13,FALSE())</f>
        <v>39600</v>
      </c>
      <c r="L14" s="139">
        <f>VLOOKUP(B14,ИСХОДНИК!A:P,14,FALSE())</f>
        <v>45936</v>
      </c>
      <c r="M14" s="140" t="str">
        <f>IF(VLOOKUP(B14,ИСХОДНИК!$A:$R,18,FALSE())=1,ИСХОДНИК!$T$2,IF(VLOOKUP(B14,ИСХОДНИК!A:R,18,FALSE())=2,ИСХОДНИК!$T$5,IF(VLOOKUP(B14,ИСХОДНИК!A:R,18,FALSE())=3,ИСХОДНИК!$T$6)))</f>
        <v>●</v>
      </c>
      <c r="O14" s="105">
        <v>3</v>
      </c>
      <c r="P14" s="105">
        <v>25</v>
      </c>
      <c r="Q14" s="184">
        <v>33.700000000000003</v>
      </c>
      <c r="R14" s="184">
        <v>2.6</v>
      </c>
      <c r="S14" s="185">
        <v>32</v>
      </c>
      <c r="T14" s="185">
        <v>3</v>
      </c>
    </row>
    <row r="15" spans="1:20" ht="22.5" customHeight="1">
      <c r="B15" s="97" t="s">
        <v>156</v>
      </c>
      <c r="C15" s="98" t="str">
        <f>VLOOKUP(B15,ИСХОДНИК!A:P,5,FALSE())</f>
        <v>SVA 32 D STR PN 52</v>
      </c>
      <c r="D15" s="105" t="str">
        <f>VLOOKUP(B15,ИСХОДНИК!A:P,6,FALSE())</f>
        <v>Прямой</v>
      </c>
      <c r="E15" s="134" t="str">
        <f>VLOOKUP(B15,ИСХОДНИК!A:P,11,FALSE())</f>
        <v>Под сварку встык DIN</v>
      </c>
      <c r="F15" s="105">
        <f>VLOOKUP(B15,ИСХОДНИК!A:P,7,FALSE())</f>
        <v>32</v>
      </c>
      <c r="G15" s="137" t="str">
        <f>VLOOKUP(B15,ИСХОДНИК!A:P,10,FALSE())</f>
        <v>R717, R744 и фреоны</v>
      </c>
      <c r="H15" s="137">
        <f>VLOOKUP(B15,ИСХОДНИК!A:P,8,FALSE())</f>
        <v>52</v>
      </c>
      <c r="I15" s="137" t="str">
        <f>VLOOKUP(B15,ИСХОДНИК!A:P,9,FALSE())</f>
        <v xml:space="preserve"> -60…120</v>
      </c>
      <c r="J15" s="105" t="str">
        <f>VLOOKUP(B15,ИСХОДНИК!A:P,15,FALSE())</f>
        <v>U6 PL40R</v>
      </c>
      <c r="K15" s="139">
        <f>VLOOKUP(B15,ИСХОДНИК!A:P,13,FALSE())</f>
        <v>50400</v>
      </c>
      <c r="L15" s="139">
        <f>VLOOKUP(B15,ИСХОДНИК!A:P,14,FALSE())</f>
        <v>58463.999999999993</v>
      </c>
      <c r="M15" s="140" t="str">
        <f>IF(VLOOKUP(B15,ИСХОДНИК!$A:$R,18,FALSE())=1,ИСХОДНИК!$T$2,IF(VLOOKUP(B15,ИСХОДНИК!A:R,18,FALSE())=2,ИСХОДНИК!$T$5,IF(VLOOKUP(B15,ИСХОДНИК!A:R,18,FALSE())=3,ИСХОДНИК!$T$6)))</f>
        <v>●</v>
      </c>
      <c r="O15" s="105">
        <v>4</v>
      </c>
      <c r="P15" s="105">
        <v>32</v>
      </c>
      <c r="Q15" s="184">
        <v>42.4</v>
      </c>
      <c r="R15" s="184">
        <v>2.6</v>
      </c>
      <c r="S15" s="185">
        <v>38</v>
      </c>
      <c r="T15" s="185">
        <v>3</v>
      </c>
    </row>
    <row r="16" spans="1:20" ht="22.5" customHeight="1">
      <c r="B16" s="97" t="s">
        <v>157</v>
      </c>
      <c r="C16" s="98" t="str">
        <f>VLOOKUP(B16,ИСХОДНИК!A:P,5,FALSE())</f>
        <v>SVA 40 D STR PN 52</v>
      </c>
      <c r="D16" s="105" t="str">
        <f>VLOOKUP(B16,ИСХОДНИК!A:P,6,FALSE())</f>
        <v>Прямой</v>
      </c>
      <c r="E16" s="134" t="str">
        <f>VLOOKUP(B16,ИСХОДНИК!A:P,11,FALSE())</f>
        <v>Под сварку встык DIN</v>
      </c>
      <c r="F16" s="105">
        <f>VLOOKUP(B16,ИСХОДНИК!A:P,7,FALSE())</f>
        <v>40</v>
      </c>
      <c r="G16" s="137" t="str">
        <f>VLOOKUP(B16,ИСХОДНИК!A:P,10,FALSE())</f>
        <v>R717, R744 и фреоны</v>
      </c>
      <c r="H16" s="137">
        <f>VLOOKUP(B16,ИСХОДНИК!A:P,8,FALSE())</f>
        <v>52</v>
      </c>
      <c r="I16" s="137" t="str">
        <f>VLOOKUP(B16,ИСХОДНИК!A:P,9,FALSE())</f>
        <v xml:space="preserve"> -60…120</v>
      </c>
      <c r="J16" s="105" t="str">
        <f>VLOOKUP(B16,ИСХОДНИК!A:P,15,FALSE())</f>
        <v>U6 PL40R</v>
      </c>
      <c r="K16" s="139">
        <f>VLOOKUP(B16,ИСХОДНИК!A:P,13,FALSE())</f>
        <v>67200</v>
      </c>
      <c r="L16" s="139">
        <f>VLOOKUP(B16,ИСХОДНИК!A:P,14,FALSE())</f>
        <v>77952</v>
      </c>
      <c r="M16" s="140" t="str">
        <f>IF(VLOOKUP(B16,ИСХОДНИК!$A:$R,18,FALSE())=1,ИСХОДНИК!$T$2,IF(VLOOKUP(B16,ИСХОДНИК!A:R,18,FALSE())=2,ИСХОДНИК!$T$5,IF(VLOOKUP(B16,ИСХОДНИК!A:R,18,FALSE())=3,ИСХОДНИК!$T$6)))</f>
        <v>●</v>
      </c>
      <c r="O16" s="105">
        <v>5</v>
      </c>
      <c r="P16" s="105">
        <v>40</v>
      </c>
      <c r="Q16" s="184">
        <v>48.3</v>
      </c>
      <c r="R16" s="184">
        <v>2.6</v>
      </c>
      <c r="S16" s="185">
        <v>45</v>
      </c>
      <c r="T16" s="185">
        <v>3</v>
      </c>
    </row>
    <row r="17" spans="2:20" ht="22.5" customHeight="1">
      <c r="B17" s="97" t="s">
        <v>158</v>
      </c>
      <c r="C17" s="98" t="str">
        <f>VLOOKUP(B17,ИСХОДНИК!A:P,5,FALSE())</f>
        <v>SVA 50 D STR PN 52</v>
      </c>
      <c r="D17" s="105" t="str">
        <f>VLOOKUP(B17,ИСХОДНИК!A:P,6,FALSE())</f>
        <v>Прямой</v>
      </c>
      <c r="E17" s="134" t="str">
        <f>VLOOKUP(B17,ИСХОДНИК!A:P,11,FALSE())</f>
        <v>Под сварку встык DIN</v>
      </c>
      <c r="F17" s="105">
        <f>VLOOKUP(B17,ИСХОДНИК!A:P,7,FALSE())</f>
        <v>50</v>
      </c>
      <c r="G17" s="137" t="str">
        <f>VLOOKUP(B17,ИСХОДНИК!A:P,10,FALSE())</f>
        <v>R717, R744 и фреоны</v>
      </c>
      <c r="H17" s="137">
        <f>VLOOKUP(B17,ИСХОДНИК!A:P,8,FALSE())</f>
        <v>52</v>
      </c>
      <c r="I17" s="137" t="str">
        <f>VLOOKUP(B17,ИСХОДНИК!A:P,9,FALSE())</f>
        <v xml:space="preserve"> -60…120</v>
      </c>
      <c r="J17" s="105" t="str">
        <f>VLOOKUP(B17,ИСХОДНИК!A:P,15,FALSE())</f>
        <v>U6 PL40R</v>
      </c>
      <c r="K17" s="139">
        <f>VLOOKUP(B17,ИСХОДНИК!A:P,13,FALSE())</f>
        <v>81000</v>
      </c>
      <c r="L17" s="139">
        <f>VLOOKUP(B17,ИСХОДНИК!A:P,14,FALSE())</f>
        <v>93960</v>
      </c>
      <c r="M17" s="140" t="str">
        <f>IF(VLOOKUP(B17,ИСХОДНИК!$A:$R,18,FALSE())=1,ИСХОДНИК!$T$2,IF(VLOOKUP(B17,ИСХОДНИК!A:R,18,FALSE())=2,ИСХОДНИК!$T$5,IF(VLOOKUP(B17,ИСХОДНИК!A:R,18,FALSE())=3,ИСХОДНИК!$T$6)))</f>
        <v>●</v>
      </c>
      <c r="O17" s="105">
        <v>6</v>
      </c>
      <c r="P17" s="105">
        <v>50</v>
      </c>
      <c r="Q17" s="184">
        <v>60.3</v>
      </c>
      <c r="R17" s="184">
        <v>2.9</v>
      </c>
      <c r="S17" s="185">
        <v>57</v>
      </c>
      <c r="T17" s="185">
        <v>3.5</v>
      </c>
    </row>
    <row r="18" spans="2:20" ht="22.5" customHeight="1">
      <c r="B18" s="97" t="s">
        <v>159</v>
      </c>
      <c r="C18" s="98" t="str">
        <f>VLOOKUP(B18,ИСХОДНИК!A:P,5,FALSE())</f>
        <v>SVA 65 D STR PN 52</v>
      </c>
      <c r="D18" s="105" t="str">
        <f>VLOOKUP(B18,ИСХОДНИК!A:P,6,FALSE())</f>
        <v>Прямой</v>
      </c>
      <c r="E18" s="134" t="str">
        <f>VLOOKUP(B18,ИСХОДНИК!A:P,11,FALSE())</f>
        <v>Под сварку встык DIN</v>
      </c>
      <c r="F18" s="105">
        <f>VLOOKUP(B18,ИСХОДНИК!A:P,7,FALSE())</f>
        <v>65</v>
      </c>
      <c r="G18" s="137" t="str">
        <f>VLOOKUP(B18,ИСХОДНИК!A:P,10,FALSE())</f>
        <v>R717, R744 и фреоны</v>
      </c>
      <c r="H18" s="137">
        <f>VLOOKUP(B18,ИСХОДНИК!A:P,8,FALSE())</f>
        <v>52</v>
      </c>
      <c r="I18" s="137" t="str">
        <f>VLOOKUP(B18,ИСХОДНИК!A:P,9,FALSE())</f>
        <v xml:space="preserve"> -60…120</v>
      </c>
      <c r="J18" s="105" t="str">
        <f>VLOOKUP(B18,ИСХОДНИК!A:P,15,FALSE())</f>
        <v>U6 PL40R</v>
      </c>
      <c r="K18" s="139">
        <f>VLOOKUP(B18,ИСХОДНИК!A:P,13,FALSE())</f>
        <v>105000</v>
      </c>
      <c r="L18" s="139">
        <f>VLOOKUP(B18,ИСХОДНИК!A:P,14,FALSE())</f>
        <v>121799.99999999999</v>
      </c>
      <c r="M18" s="140" t="str">
        <f>IF(VLOOKUP(B18,ИСХОДНИК!$A:$R,18,FALSE())=1,ИСХОДНИК!$T$2,IF(VLOOKUP(B18,ИСХОДНИК!A:R,18,FALSE())=2,ИСХОДНИК!$T$5,IF(VLOOKUP(B18,ИСХОДНИК!A:R,18,FALSE())=3,ИСХОДНИК!$T$6)))</f>
        <v>●</v>
      </c>
      <c r="O18" s="105">
        <v>7</v>
      </c>
      <c r="P18" s="105">
        <v>65</v>
      </c>
      <c r="Q18" s="184">
        <v>76.099999999999994</v>
      </c>
      <c r="R18" s="184">
        <v>2.9</v>
      </c>
      <c r="S18" s="186"/>
      <c r="T18" s="187"/>
    </row>
    <row r="19" spans="2:20" ht="22.5" customHeight="1">
      <c r="B19" s="97" t="s">
        <v>160</v>
      </c>
      <c r="C19" s="98" t="str">
        <f>VLOOKUP(B19,ИСХОДНИК!A:P,5,FALSE())</f>
        <v>SVA 80 D STR PN 52</v>
      </c>
      <c r="D19" s="105" t="str">
        <f>VLOOKUP(B19,ИСХОДНИК!A:P,6,FALSE())</f>
        <v>Прямой</v>
      </c>
      <c r="E19" s="134" t="str">
        <f>VLOOKUP(B19,ИСХОДНИК!A:P,11,FALSE())</f>
        <v>Под сварку встык DIN</v>
      </c>
      <c r="F19" s="105">
        <f>VLOOKUP(B19,ИСХОДНИК!A:P,7,FALSE())</f>
        <v>80</v>
      </c>
      <c r="G19" s="137" t="str">
        <f>VLOOKUP(B19,ИСХОДНИК!A:P,10,FALSE())</f>
        <v>R717, R744 и фреоны</v>
      </c>
      <c r="H19" s="137">
        <f>VLOOKUP(B19,ИСХОДНИК!A:P,8,FALSE())</f>
        <v>52</v>
      </c>
      <c r="I19" s="137" t="str">
        <f>VLOOKUP(B19,ИСХОДНИК!A:P,9,FALSE())</f>
        <v xml:space="preserve"> -60…120</v>
      </c>
      <c r="J19" s="105" t="str">
        <f>VLOOKUP(B19,ИСХОДНИК!A:P,15,FALSE())</f>
        <v>U6 PL40R</v>
      </c>
      <c r="K19" s="139">
        <f>VLOOKUP(B19,ИСХОДНИК!A:P,13,FALSE())</f>
        <v>121800</v>
      </c>
      <c r="L19" s="139">
        <f>VLOOKUP(B19,ИСХОДНИК!A:P,14,FALSE())</f>
        <v>141288</v>
      </c>
      <c r="M19" s="104" t="str">
        <f>IF(VLOOKUP(B19,ИСХОДНИК!$A:$R,18,FALSE())=1,ИСХОДНИК!$T$2,IF(VLOOKUP(B19,ИСХОДНИК!A:R,18,FALSE())=2,ИСХОДНИК!$T$5,IF(VLOOKUP(B19,ИСХОДНИК!A:R,18,FALSE())=3,ИСХОДНИК!$T$6)))</f>
        <v>◑</v>
      </c>
      <c r="O19" s="105">
        <v>8</v>
      </c>
      <c r="P19" s="105">
        <v>80</v>
      </c>
      <c r="Q19" s="184">
        <v>88.9</v>
      </c>
      <c r="R19" s="184">
        <v>3.2</v>
      </c>
      <c r="S19" s="188"/>
      <c r="T19" s="189"/>
    </row>
    <row r="20" spans="2:20" ht="22.5" customHeight="1">
      <c r="B20" s="97" t="s">
        <v>161</v>
      </c>
      <c r="C20" s="98" t="str">
        <f>VLOOKUP(B20,ИСХОДНИК!A:P,5,FALSE())</f>
        <v>SVA 100 D STR PN 52</v>
      </c>
      <c r="D20" s="105" t="str">
        <f>VLOOKUP(B20,ИСХОДНИК!A:P,6,FALSE())</f>
        <v>Прямой</v>
      </c>
      <c r="E20" s="134" t="str">
        <f>VLOOKUP(B20,ИСХОДНИК!A:P,11,FALSE())</f>
        <v>Под сварку встык DIN</v>
      </c>
      <c r="F20" s="105">
        <f>VLOOKUP(B20,ИСХОДНИК!A:P,7,FALSE())</f>
        <v>100</v>
      </c>
      <c r="G20" s="137" t="str">
        <f>VLOOKUP(B20,ИСХОДНИК!A:P,10,FALSE())</f>
        <v>R717, R744 и фреоны</v>
      </c>
      <c r="H20" s="137">
        <f>VLOOKUP(B20,ИСХОДНИК!A:P,8,FALSE())</f>
        <v>52</v>
      </c>
      <c r="I20" s="137" t="str">
        <f>VLOOKUP(B20,ИСХОДНИК!A:P,9,FALSE())</f>
        <v xml:space="preserve"> -60…120</v>
      </c>
      <c r="J20" s="105" t="str">
        <f>VLOOKUP(B20,ИСХОДНИК!A:P,15,FALSE())</f>
        <v>U6 PL40R</v>
      </c>
      <c r="K20" s="139">
        <f>VLOOKUP(B20,ИСХОДНИК!A:P,13,FALSE())</f>
        <v>246000</v>
      </c>
      <c r="L20" s="139">
        <f>VLOOKUP(B20,ИСХОДНИК!A:P,14,FALSE())</f>
        <v>285360</v>
      </c>
      <c r="M20" s="104" t="str">
        <f>IF(VLOOKUP(B20,ИСХОДНИК!$A:$R,18,FALSE())=1,ИСХОДНИК!$T$2,IF(VLOOKUP(B20,ИСХОДНИК!A:R,18,FALSE())=2,ИСХОДНИК!$T$5,IF(VLOOKUP(B20,ИСХОДНИК!A:R,18,FALSE())=3,ИСХОДНИК!$T$6)))</f>
        <v>◑</v>
      </c>
      <c r="O20" s="105">
        <v>9</v>
      </c>
      <c r="P20" s="105">
        <v>100</v>
      </c>
      <c r="Q20" s="184">
        <v>114.3</v>
      </c>
      <c r="R20" s="184">
        <v>3.6</v>
      </c>
      <c r="S20" s="185">
        <v>108</v>
      </c>
      <c r="T20" s="185">
        <v>4</v>
      </c>
    </row>
    <row r="21" spans="2:20" ht="22.5" customHeight="1">
      <c r="B21" s="97" t="s">
        <v>162</v>
      </c>
      <c r="C21" s="98" t="str">
        <f>VLOOKUP(B21,ИСХОДНИК!A:P,5,FALSE())</f>
        <v>SVA 100 G STR PN 52</v>
      </c>
      <c r="D21" s="105" t="str">
        <f>VLOOKUP(B21,ИСХОДНИК!A:P,6,FALSE())</f>
        <v>Прямой</v>
      </c>
      <c r="E21" s="134" t="str">
        <f>VLOOKUP(B21,ИСХОДНИК!A:P,11,FALSE())</f>
        <v>Под сварку встык GOST</v>
      </c>
      <c r="F21" s="105">
        <f>VLOOKUP(B21,ИСХОДНИК!A:P,7,FALSE())</f>
        <v>100</v>
      </c>
      <c r="G21" s="137" t="str">
        <f>VLOOKUP(B21,ИСХОДНИК!A:P,10,FALSE())</f>
        <v>R717, R744 и фреоны</v>
      </c>
      <c r="H21" s="137">
        <f>VLOOKUP(B21,ИСХОДНИК!A:P,8,FALSE())</f>
        <v>52</v>
      </c>
      <c r="I21" s="137" t="str">
        <f>VLOOKUP(B21,ИСХОДНИК!A:P,9,FALSE())</f>
        <v xml:space="preserve"> -60…120</v>
      </c>
      <c r="J21" s="105" t="str">
        <f>VLOOKUP(B21,ИСХОДНИК!A:P,15,FALSE())</f>
        <v>U6 PL40R</v>
      </c>
      <c r="K21" s="139">
        <f>VLOOKUP(B21,ИСХОДНИК!A:P,13,FALSE())</f>
        <v>246000</v>
      </c>
      <c r="L21" s="139">
        <f>VLOOKUP(B21,ИСХОДНИК!A:P,14,FALSE())</f>
        <v>285360</v>
      </c>
      <c r="M21" s="140" t="str">
        <f>IF(VLOOKUP(B21,ИСХОДНИК!$A:$R,18,FALSE())=1,ИСХОДНИК!$T$2,IF(VLOOKUP(B21,ИСХОДНИК!A:R,18,FALSE())=2,ИСХОДНИК!$T$5,IF(VLOOKUP(B21,ИСХОДНИК!A:R,18,FALSE())=3,ИСХОДНИК!$T$6)))</f>
        <v>○</v>
      </c>
      <c r="O21" s="105">
        <v>10</v>
      </c>
      <c r="P21" s="105">
        <v>125</v>
      </c>
      <c r="Q21" s="184">
        <v>139.69999999999999</v>
      </c>
      <c r="R21" s="184">
        <v>4</v>
      </c>
      <c r="S21" s="185">
        <v>133</v>
      </c>
      <c r="T21" s="185">
        <v>4</v>
      </c>
    </row>
    <row r="22" spans="2:20" ht="22.5" customHeight="1">
      <c r="B22" s="97" t="s">
        <v>163</v>
      </c>
      <c r="C22" s="98" t="str">
        <f>VLOOKUP(B22,ИСХОДНИК!A:P,5,FALSE())</f>
        <v>SVA 100 D STR PN 40</v>
      </c>
      <c r="D22" s="105" t="str">
        <f>VLOOKUP(B22,ИСХОДНИК!A:P,6,FALSE())</f>
        <v>Прямой</v>
      </c>
      <c r="E22" s="134" t="str">
        <f>VLOOKUP(B22,ИСХОДНИК!A:P,11,FALSE())</f>
        <v>Под сварку встык DIN</v>
      </c>
      <c r="F22" s="105">
        <f>VLOOKUP(B22,ИСХОДНИК!A:P,7,FALSE())</f>
        <v>100</v>
      </c>
      <c r="G22" s="137" t="str">
        <f>VLOOKUP(B22,ИСХОДНИК!A:P,10,FALSE())</f>
        <v>R717, R744 и фреоны</v>
      </c>
      <c r="H22" s="137">
        <f>VLOOKUP(B22,ИСХОДНИК!A:P,8,FALSE())</f>
        <v>40</v>
      </c>
      <c r="I22" s="137" t="str">
        <f>VLOOKUP(B22,ИСХОДНИК!A:P,9,FALSE())</f>
        <v xml:space="preserve"> -60…120</v>
      </c>
      <c r="J22" s="105" t="str">
        <f>VLOOKUP(B22,ИСХОДНИК!A:P,15,FALSE())</f>
        <v>U6 PL40R</v>
      </c>
      <c r="K22" s="139">
        <f>VLOOKUP(B22,ИСХОДНИК!A:P,13,FALSE())</f>
        <v>210000</v>
      </c>
      <c r="L22" s="139">
        <f>VLOOKUP(B22,ИСХОДНИК!A:P,14,FALSE())</f>
        <v>243599.99999999997</v>
      </c>
      <c r="M22" s="104" t="str">
        <f>IF(VLOOKUP(B22,ИСХОДНИК!$A:$R,18,FALSE())=1,ИСХОДНИК!$T$2,IF(VLOOKUP(B22,ИСХОДНИК!A:R,18,FALSE())=2,ИСХОДНИК!$T$5,IF(VLOOKUP(B22,ИСХОДНИК!A:R,18,FALSE())=3,ИСХОДНИК!$T$6)))</f>
        <v>◑</v>
      </c>
      <c r="O22" s="105">
        <v>11</v>
      </c>
      <c r="P22" s="105">
        <v>150</v>
      </c>
      <c r="Q22" s="184">
        <v>168.3</v>
      </c>
      <c r="R22" s="184">
        <v>4.5</v>
      </c>
      <c r="S22" s="185">
        <v>159</v>
      </c>
      <c r="T22" s="185">
        <v>4.5</v>
      </c>
    </row>
    <row r="23" spans="2:20" ht="22.5" customHeight="1">
      <c r="B23" s="97" t="s">
        <v>164</v>
      </c>
      <c r="C23" s="98" t="str">
        <f>VLOOKUP(B23,ИСХОДНИК!A:P,5,FALSE())</f>
        <v>SVA 100 G STR PN 40</v>
      </c>
      <c r="D23" s="105" t="str">
        <f>VLOOKUP(B23,ИСХОДНИК!A:P,6,FALSE())</f>
        <v>Прямой</v>
      </c>
      <c r="E23" s="134" t="str">
        <f>VLOOKUP(B23,ИСХОДНИК!A:P,11,FALSE())</f>
        <v>Под сварку встык GOST</v>
      </c>
      <c r="F23" s="105">
        <f>VLOOKUP(B23,ИСХОДНИК!A:P,7,FALSE())</f>
        <v>100</v>
      </c>
      <c r="G23" s="137" t="str">
        <f>VLOOKUP(B23,ИСХОДНИК!A:P,10,FALSE())</f>
        <v>R717, R744 и фреоны</v>
      </c>
      <c r="H23" s="137">
        <f>VLOOKUP(B23,ИСХОДНИК!A:P,8,FALSE())</f>
        <v>40</v>
      </c>
      <c r="I23" s="137" t="str">
        <f>VLOOKUP(B23,ИСХОДНИК!A:P,9,FALSE())</f>
        <v xml:space="preserve"> -60…120</v>
      </c>
      <c r="J23" s="105" t="str">
        <f>VLOOKUP(B23,ИСХОДНИК!A:P,15,FALSE())</f>
        <v>U6 PL40R</v>
      </c>
      <c r="K23" s="139">
        <f>VLOOKUP(B23,ИСХОДНИК!A:P,13,FALSE())</f>
        <v>210000</v>
      </c>
      <c r="L23" s="139">
        <f>VLOOKUP(B23,ИСХОДНИК!A:P,14,FALSE())</f>
        <v>243599.99999999997</v>
      </c>
      <c r="M23" s="140" t="str">
        <f>IF(VLOOKUP(B23,ИСХОДНИК!$A:$R,18,FALSE())=1,ИСХОДНИК!$T$2,IF(VLOOKUP(B23,ИСХОДНИК!A:R,18,FALSE())=2,ИСХОДНИК!$T$5,IF(VLOOKUP(B23,ИСХОДНИК!A:R,18,FALSE())=3,ИСХОДНИК!$T$6)))</f>
        <v>○</v>
      </c>
      <c r="O23" s="105">
        <v>12</v>
      </c>
      <c r="P23" s="105">
        <v>200</v>
      </c>
      <c r="Q23" s="184">
        <v>219.1</v>
      </c>
      <c r="R23" s="184">
        <v>6</v>
      </c>
      <c r="S23" s="190"/>
      <c r="T23" s="191"/>
    </row>
    <row r="24" spans="2:20" ht="22.5" customHeight="1">
      <c r="B24" s="97" t="s">
        <v>165</v>
      </c>
      <c r="C24" s="98" t="str">
        <f>VLOOKUP(B24,ИСХОДНИК!A:P,5,FALSE())</f>
        <v>SVA 125 D STR PN 52</v>
      </c>
      <c r="D24" s="105" t="str">
        <f>VLOOKUP(B24,ИСХОДНИК!A:P,6,FALSE())</f>
        <v>Прямой</v>
      </c>
      <c r="E24" s="134" t="str">
        <f>VLOOKUP(B24,ИСХОДНИК!A:P,11,FALSE())</f>
        <v>Под сварку встык DIN</v>
      </c>
      <c r="F24" s="105">
        <f>VLOOKUP(B24,ИСХОДНИК!A:P,7,FALSE())</f>
        <v>125</v>
      </c>
      <c r="G24" s="137" t="str">
        <f>VLOOKUP(B24,ИСХОДНИК!A:P,10,FALSE())</f>
        <v>R717, R744 и фреоны</v>
      </c>
      <c r="H24" s="137">
        <f>VLOOKUP(B24,ИСХОДНИК!A:P,8,FALSE())</f>
        <v>52</v>
      </c>
      <c r="I24" s="137" t="str">
        <f>VLOOKUP(B24,ИСХОДНИК!A:P,9,FALSE())</f>
        <v xml:space="preserve"> -60…120</v>
      </c>
      <c r="J24" s="105" t="str">
        <f>VLOOKUP(B24,ИСХОДНИК!A:P,15,FALSE())</f>
        <v>U6 PL40R</v>
      </c>
      <c r="K24" s="139">
        <f>VLOOKUP(B24,ИСХОДНИК!A:P,13,FALSE())</f>
        <v>420000</v>
      </c>
      <c r="L24" s="139">
        <f>VLOOKUP(B24,ИСХОДНИК!A:P,14,FALSE())</f>
        <v>487199.99999999994</v>
      </c>
      <c r="M24" s="104" t="str">
        <f>IF(VLOOKUP(B24,ИСХОДНИК!$A:$R,18,FALSE())=1,ИСХОДНИК!$T$2,IF(VLOOKUP(B24,ИСХОДНИК!A:R,18,FALSE())=2,ИСХОДНИК!$T$5,IF(VLOOKUP(B24,ИСХОДНИК!A:R,18,FALSE())=3,ИСХОДНИК!$T$6)))</f>
        <v>◑</v>
      </c>
      <c r="O24" s="105">
        <v>13</v>
      </c>
      <c r="P24" s="105">
        <v>250</v>
      </c>
      <c r="Q24" s="184">
        <v>273</v>
      </c>
      <c r="R24" s="184">
        <v>6.3</v>
      </c>
      <c r="S24" s="192"/>
      <c r="T24" s="193"/>
    </row>
    <row r="25" spans="2:20" ht="22.5" customHeight="1">
      <c r="B25" s="97" t="s">
        <v>166</v>
      </c>
      <c r="C25" s="98" t="str">
        <f>VLOOKUP(B25,ИСХОДНИК!A:P,5,FALSE())</f>
        <v>SVA 125 G STR PN 52</v>
      </c>
      <c r="D25" s="105" t="str">
        <f>VLOOKUP(B25,ИСХОДНИК!A:P,6,FALSE())</f>
        <v>Прямой</v>
      </c>
      <c r="E25" s="134" t="str">
        <f>VLOOKUP(B25,ИСХОДНИК!A:P,11,FALSE())</f>
        <v>Под сварку встык GOST</v>
      </c>
      <c r="F25" s="105">
        <f>VLOOKUP(B25,ИСХОДНИК!A:P,7,FALSE())</f>
        <v>125</v>
      </c>
      <c r="G25" s="137" t="str">
        <f>VLOOKUP(B25,ИСХОДНИК!A:P,10,FALSE())</f>
        <v>R717, R744 и фреоны</v>
      </c>
      <c r="H25" s="137">
        <f>VLOOKUP(B25,ИСХОДНИК!A:P,8,FALSE())</f>
        <v>52</v>
      </c>
      <c r="I25" s="137" t="str">
        <f>VLOOKUP(B25,ИСХОДНИК!A:P,9,FALSE())</f>
        <v xml:space="preserve"> -60…120</v>
      </c>
      <c r="J25" s="105" t="str">
        <f>VLOOKUP(B25,ИСХОДНИК!A:P,15,FALSE())</f>
        <v>U6 PL40R</v>
      </c>
      <c r="K25" s="139">
        <f>VLOOKUP(B25,ИСХОДНИК!A:P,13,FALSE())</f>
        <v>420000</v>
      </c>
      <c r="L25" s="139">
        <f>VLOOKUP(B25,ИСХОДНИК!A:P,14,FALSE())</f>
        <v>487199.99999999994</v>
      </c>
      <c r="M25" s="140" t="str">
        <f>IF(VLOOKUP(B25,ИСХОДНИК!$A:$R,18,FALSE())=1,ИСХОДНИК!$T$2,IF(VLOOKUP(B25,ИСХОДНИК!A:R,18,FALSE())=2,ИСХОДНИК!$T$5,IF(VLOOKUP(B25,ИСХОДНИК!A:R,18,FALSE())=3,ИСХОДНИК!$T$6)))</f>
        <v>○</v>
      </c>
      <c r="O25" s="105">
        <v>14</v>
      </c>
      <c r="P25" s="105">
        <v>300</v>
      </c>
      <c r="Q25" s="184">
        <v>323.89999999999998</v>
      </c>
      <c r="R25" s="184">
        <v>7.1</v>
      </c>
      <c r="S25" s="192"/>
      <c r="T25" s="193"/>
    </row>
    <row r="26" spans="2:20" ht="22.5" customHeight="1">
      <c r="B26" s="97" t="s">
        <v>167</v>
      </c>
      <c r="C26" s="98" t="str">
        <f>VLOOKUP(B26,ИСХОДНИК!A:P,5,FALSE())</f>
        <v>SVA 125 D STR PN 40</v>
      </c>
      <c r="D26" s="105" t="str">
        <f>VLOOKUP(B26,ИСХОДНИК!A:P,6,FALSE())</f>
        <v>Прямой</v>
      </c>
      <c r="E26" s="134" t="str">
        <f>VLOOKUP(B26,ИСХОДНИК!A:P,11,FALSE())</f>
        <v>Под сварку встык DIN</v>
      </c>
      <c r="F26" s="105">
        <f>VLOOKUP(B26,ИСХОДНИК!A:P,7,FALSE())</f>
        <v>125</v>
      </c>
      <c r="G26" s="137" t="str">
        <f>VLOOKUP(B26,ИСХОДНИК!A:P,10,FALSE())</f>
        <v>R717, R744 и фреоны</v>
      </c>
      <c r="H26" s="137">
        <f>VLOOKUP(B26,ИСХОДНИК!A:P,8,FALSE())</f>
        <v>40</v>
      </c>
      <c r="I26" s="137" t="str">
        <f>VLOOKUP(B26,ИСХОДНИК!A:P,9,FALSE())</f>
        <v xml:space="preserve"> -60…120</v>
      </c>
      <c r="J26" s="105" t="str">
        <f>VLOOKUP(B26,ИСХОДНИК!A:P,15,FALSE())</f>
        <v>U6 PL40R</v>
      </c>
      <c r="K26" s="139">
        <f>VLOOKUP(B26,ИСХОДНИК!A:P,13,FALSE())</f>
        <v>348000</v>
      </c>
      <c r="L26" s="139">
        <f>VLOOKUP(B26,ИСХОДНИК!A:P,14,FALSE())</f>
        <v>403680</v>
      </c>
      <c r="M26" s="104" t="str">
        <f>IF(VLOOKUP(B26,ИСХОДНИК!$A:$R,18,FALSE())=1,ИСХОДНИК!$T$2,IF(VLOOKUP(B26,ИСХОДНИК!A:R,18,FALSE())=2,ИСХОДНИК!$T$5,IF(VLOOKUP(B26,ИСХОДНИК!A:R,18,FALSE())=3,ИСХОДНИК!$T$6)))</f>
        <v>◑</v>
      </c>
      <c r="O26" s="105">
        <v>15</v>
      </c>
      <c r="P26" s="105">
        <v>350</v>
      </c>
      <c r="Q26" s="184">
        <v>377</v>
      </c>
      <c r="R26" s="184">
        <v>10</v>
      </c>
      <c r="S26" s="194"/>
      <c r="T26" s="195"/>
    </row>
    <row r="27" spans="2:20" ht="22.5" customHeight="1">
      <c r="B27" s="97" t="s">
        <v>168</v>
      </c>
      <c r="C27" s="98" t="str">
        <f>VLOOKUP(B27,ИСХОДНИК!A:P,5,FALSE())</f>
        <v>SVA 125 G STR PN 40</v>
      </c>
      <c r="D27" s="105" t="str">
        <f>VLOOKUP(B27,ИСХОДНИК!A:P,6,FALSE())</f>
        <v>Прямой</v>
      </c>
      <c r="E27" s="134" t="str">
        <f>VLOOKUP(B27,ИСХОДНИК!A:P,11,FALSE())</f>
        <v>Под сварку встык GOST</v>
      </c>
      <c r="F27" s="105">
        <f>VLOOKUP(B27,ИСХОДНИК!A:P,7,FALSE())</f>
        <v>125</v>
      </c>
      <c r="G27" s="137" t="str">
        <f>VLOOKUP(B27,ИСХОДНИК!A:P,10,FALSE())</f>
        <v>R717, R744 и фреоны</v>
      </c>
      <c r="H27" s="137">
        <f>VLOOKUP(B27,ИСХОДНИК!A:P,8,FALSE())</f>
        <v>40</v>
      </c>
      <c r="I27" s="137" t="str">
        <f>VLOOKUP(B27,ИСХОДНИК!A:P,9,FALSE())</f>
        <v xml:space="preserve"> -60…120</v>
      </c>
      <c r="J27" s="105" t="str">
        <f>VLOOKUP(B27,ИСХОДНИК!A:P,15,FALSE())</f>
        <v>U6 PL40R</v>
      </c>
      <c r="K27" s="139">
        <f>VLOOKUP(B27,ИСХОДНИК!A:P,13,FALSE())</f>
        <v>348000</v>
      </c>
      <c r="L27" s="139">
        <f>VLOOKUP(B27,ИСХОДНИК!A:P,14,FALSE())</f>
        <v>403680</v>
      </c>
      <c r="M27" s="140" t="str">
        <f>IF(VLOOKUP(B27,ИСХОДНИК!$A:$R,18,FALSE())=1,ИСХОДНИК!$T$2,IF(VLOOKUP(B27,ИСХОДНИК!A:R,18,FALSE())=2,ИСХОДНИК!$T$5,IF(VLOOKUP(B27,ИСХОДНИК!A:R,18,FALSE())=3,ИСХОДНИК!$T$6)))</f>
        <v>○</v>
      </c>
    </row>
    <row r="28" spans="2:20" ht="22.5" customHeight="1">
      <c r="B28" s="97" t="s">
        <v>169</v>
      </c>
      <c r="C28" s="98" t="str">
        <f>VLOOKUP(B28,ИСХОДНИК!A:P,5,FALSE())</f>
        <v>SVA 150 D STR PN 52</v>
      </c>
      <c r="D28" s="105" t="str">
        <f>VLOOKUP(B28,ИСХОДНИК!A:P,6,FALSE())</f>
        <v>Прямой</v>
      </c>
      <c r="E28" s="134" t="str">
        <f>VLOOKUP(B28,ИСХОДНИК!A:P,11,FALSE())</f>
        <v>Под сварку встык DIN</v>
      </c>
      <c r="F28" s="105">
        <f>VLOOKUP(B28,ИСХОДНИК!A:P,7,FALSE())</f>
        <v>150</v>
      </c>
      <c r="G28" s="137" t="str">
        <f>VLOOKUP(B28,ИСХОДНИК!A:P,10,FALSE())</f>
        <v>R717, R744 и фреоны</v>
      </c>
      <c r="H28" s="137">
        <f>VLOOKUP(B28,ИСХОДНИК!A:P,8,FALSE())</f>
        <v>52</v>
      </c>
      <c r="I28" s="137" t="str">
        <f>VLOOKUP(B28,ИСХОДНИК!A:P,9,FALSE())</f>
        <v xml:space="preserve"> -60…120</v>
      </c>
      <c r="J28" s="105" t="str">
        <f>VLOOKUP(B28,ИСХОДНИК!A:P,15,FALSE())</f>
        <v>U6 PL40R</v>
      </c>
      <c r="K28" s="139">
        <f>VLOOKUP(B28,ИСХОДНИК!A:P,13,FALSE())</f>
        <v>588000</v>
      </c>
      <c r="L28" s="139">
        <f>VLOOKUP(B28,ИСХОДНИК!A:P,14,FALSE())</f>
        <v>682080</v>
      </c>
      <c r="M28" s="104" t="str">
        <f>IF(VLOOKUP(B28,ИСХОДНИК!$A:$R,18,FALSE())=1,ИСХОДНИК!$T$2,IF(VLOOKUP(B28,ИСХОДНИК!A:R,18,FALSE())=2,ИСХОДНИК!$T$5,IF(VLOOKUP(B28,ИСХОДНИК!A:R,18,FALSE())=3,ИСХОДНИК!$T$6)))</f>
        <v>◑</v>
      </c>
    </row>
    <row r="29" spans="2:20" ht="22.5" customHeight="1">
      <c r="B29" s="97" t="s">
        <v>170</v>
      </c>
      <c r="C29" s="98" t="str">
        <f>VLOOKUP(B29,ИСХОДНИК!A:P,5,FALSE())</f>
        <v>SVA 150 G STR PN 52</v>
      </c>
      <c r="D29" s="105" t="str">
        <f>VLOOKUP(B29,ИСХОДНИК!A:P,6,FALSE())</f>
        <v>Прямой</v>
      </c>
      <c r="E29" s="134" t="str">
        <f>VLOOKUP(B29,ИСХОДНИК!A:P,11,FALSE())</f>
        <v>Под сварку встык GOST</v>
      </c>
      <c r="F29" s="105">
        <f>VLOOKUP(B29,ИСХОДНИК!A:P,7,FALSE())</f>
        <v>150</v>
      </c>
      <c r="G29" s="137" t="str">
        <f>VLOOKUP(B29,ИСХОДНИК!A:P,10,FALSE())</f>
        <v>R717, R744 и фреоны</v>
      </c>
      <c r="H29" s="137">
        <f>VLOOKUP(B29,ИСХОДНИК!A:P,8,FALSE())</f>
        <v>52</v>
      </c>
      <c r="I29" s="137" t="str">
        <f>VLOOKUP(B29,ИСХОДНИК!A:P,9,FALSE())</f>
        <v xml:space="preserve"> -60…120</v>
      </c>
      <c r="J29" s="105" t="str">
        <f>VLOOKUP(B29,ИСХОДНИК!A:P,15,FALSE())</f>
        <v>U6 PL40R</v>
      </c>
      <c r="K29" s="139">
        <f>VLOOKUP(B29,ИСХОДНИК!A:P,13,FALSE())</f>
        <v>588000</v>
      </c>
      <c r="L29" s="139">
        <f>VLOOKUP(B29,ИСХОДНИК!A:P,14,FALSE())</f>
        <v>682080</v>
      </c>
      <c r="M29" s="140" t="str">
        <f>IF(VLOOKUP(B29,ИСХОДНИК!$A:$R,18,FALSE())=1,ИСХОДНИК!$T$2,IF(VLOOKUP(B29,ИСХОДНИК!A:R,18,FALSE())=2,ИСХОДНИК!$T$5,IF(VLOOKUP(B29,ИСХОДНИК!A:R,18,FALSE())=3,ИСХОДНИК!$T$6)))</f>
        <v>○</v>
      </c>
    </row>
    <row r="30" spans="2:20" ht="22.5" customHeight="1">
      <c r="B30" s="97" t="s">
        <v>171</v>
      </c>
      <c r="C30" s="98" t="str">
        <f>VLOOKUP(B30,ИСХОДНИК!A:P,5,FALSE())</f>
        <v>SVA 150 D STR PN 40</v>
      </c>
      <c r="D30" s="105" t="str">
        <f>VLOOKUP(B30,ИСХОДНИК!A:P,6,FALSE())</f>
        <v>Прямой</v>
      </c>
      <c r="E30" s="134" t="str">
        <f>VLOOKUP(B30,ИСХОДНИК!A:P,11,FALSE())</f>
        <v>Под сварку встык DIN</v>
      </c>
      <c r="F30" s="105">
        <f>VLOOKUP(B30,ИСХОДНИК!A:P,7,FALSE())</f>
        <v>150</v>
      </c>
      <c r="G30" s="137" t="str">
        <f>VLOOKUP(B30,ИСХОДНИК!A:P,10,FALSE())</f>
        <v>R717, R744 и фреоны</v>
      </c>
      <c r="H30" s="137">
        <f>VLOOKUP(B30,ИСХОДНИК!A:P,8,FALSE())</f>
        <v>40</v>
      </c>
      <c r="I30" s="137" t="str">
        <f>VLOOKUP(B30,ИСХОДНИК!A:P,9,FALSE())</f>
        <v xml:space="preserve"> -60…120</v>
      </c>
      <c r="J30" s="105" t="str">
        <f>VLOOKUP(B30,ИСХОДНИК!A:P,15,FALSE())</f>
        <v>U6 PL40R</v>
      </c>
      <c r="K30" s="139">
        <f>VLOOKUP(B30,ИСХОДНИК!A:P,13,FALSE())</f>
        <v>492000</v>
      </c>
      <c r="L30" s="139">
        <f>VLOOKUP(B30,ИСХОДНИК!A:P,14,FALSE())</f>
        <v>570720</v>
      </c>
      <c r="M30" s="104" t="str">
        <f>IF(VLOOKUP(B30,ИСХОДНИК!$A:$R,18,FALSE())=1,ИСХОДНИК!$T$2,IF(VLOOKUP(B30,ИСХОДНИК!A:R,18,FALSE())=2,ИСХОДНИК!$T$5,IF(VLOOKUP(B30,ИСХОДНИК!A:R,18,FALSE())=3,ИСХОДНИК!$T$6)))</f>
        <v>◑</v>
      </c>
    </row>
    <row r="31" spans="2:20" ht="22.5" customHeight="1">
      <c r="B31" s="97" t="s">
        <v>172</v>
      </c>
      <c r="C31" s="98" t="str">
        <f>VLOOKUP(B31,ИСХОДНИК!A:P,5,FALSE())</f>
        <v>SVA 150 G STR PN 40</v>
      </c>
      <c r="D31" s="105" t="str">
        <f>VLOOKUP(B31,ИСХОДНИК!A:P,6,FALSE())</f>
        <v>Прямой</v>
      </c>
      <c r="E31" s="134" t="str">
        <f>VLOOKUP(B31,ИСХОДНИК!A:P,11,FALSE())</f>
        <v>Под сварку встык GOST</v>
      </c>
      <c r="F31" s="105">
        <f>VLOOKUP(B31,ИСХОДНИК!A:P,7,FALSE())</f>
        <v>150</v>
      </c>
      <c r="G31" s="137" t="str">
        <f>VLOOKUP(B31,ИСХОДНИК!A:P,10,FALSE())</f>
        <v>R717, R744 и фреоны</v>
      </c>
      <c r="H31" s="137">
        <f>VLOOKUP(B31,ИСХОДНИК!A:P,8,FALSE())</f>
        <v>40</v>
      </c>
      <c r="I31" s="137" t="str">
        <f>VLOOKUP(B31,ИСХОДНИК!A:P,9,FALSE())</f>
        <v xml:space="preserve"> -60…120</v>
      </c>
      <c r="J31" s="105" t="str">
        <f>VLOOKUP(B31,ИСХОДНИК!A:P,15,FALSE())</f>
        <v>U6 PL40R</v>
      </c>
      <c r="K31" s="139">
        <f>VLOOKUP(B31,ИСХОДНИК!A:P,13,FALSE())</f>
        <v>492000</v>
      </c>
      <c r="L31" s="139">
        <f>VLOOKUP(B31,ИСХОДНИК!A:P,14,FALSE())</f>
        <v>570720</v>
      </c>
      <c r="M31" s="140" t="str">
        <f>IF(VLOOKUP(B31,ИСХОДНИК!$A:$R,18,FALSE())=1,ИСХОДНИК!$T$2,IF(VLOOKUP(B31,ИСХОДНИК!A:R,18,FALSE())=2,ИСХОДНИК!$T$5,IF(VLOOKUP(B31,ИСХОДНИК!A:R,18,FALSE())=3,ИСХОДНИК!$T$6)))</f>
        <v>○</v>
      </c>
    </row>
    <row r="32" spans="2:20" ht="22.5" customHeight="1">
      <c r="B32" s="97" t="s">
        <v>173</v>
      </c>
      <c r="C32" s="98" t="str">
        <f>VLOOKUP(B32,ИСХОДНИК!A:P,5,FALSE())</f>
        <v>SVA 200 D STR PN 40</v>
      </c>
      <c r="D32" s="105" t="str">
        <f>VLOOKUP(B32,ИСХОДНИК!A:P,6,FALSE())</f>
        <v>Прямой</v>
      </c>
      <c r="E32" s="134" t="str">
        <f>VLOOKUP(B32,ИСХОДНИК!A:P,11,FALSE())</f>
        <v>Под сварку встык DIN</v>
      </c>
      <c r="F32" s="105">
        <f>VLOOKUP(B32,ИСХОДНИК!A:P,7,FALSE())</f>
        <v>200</v>
      </c>
      <c r="G32" s="137" t="str">
        <f>VLOOKUP(B32,ИСХОДНИК!A:P,10,FALSE())</f>
        <v>R717, R744 и фреоны</v>
      </c>
      <c r="H32" s="137">
        <f>VLOOKUP(B32,ИСХОДНИК!A:P,8,FALSE())</f>
        <v>40</v>
      </c>
      <c r="I32" s="137" t="str">
        <f>VLOOKUP(B32,ИСХОДНИК!A:P,9,FALSE())</f>
        <v xml:space="preserve"> -60…120</v>
      </c>
      <c r="J32" s="105" t="str">
        <f>VLOOKUP(B32,ИСХОДНИК!A:P,15,FALSE())</f>
        <v>U6 PL40R</v>
      </c>
      <c r="K32" s="139">
        <f>VLOOKUP(B32,ИСХОДНИК!A:P,13,FALSE())</f>
        <v>912000</v>
      </c>
      <c r="L32" s="139">
        <f>VLOOKUP(B32,ИСХОДНИК!A:P,14,FALSE())</f>
        <v>1057920</v>
      </c>
      <c r="M32" s="140" t="str">
        <f>IF(VLOOKUP(B32,ИСХОДНИК!$A:$R,18,FALSE())=1,ИСХОДНИК!$T$2,IF(VLOOKUP(B32,ИСХОДНИК!A:R,18,FALSE())=2,ИСХОДНИК!$T$5,IF(VLOOKUP(B32,ИСХОДНИК!A:R,18,FALSE())=3,ИСХОДНИК!$T$6)))</f>
        <v>○</v>
      </c>
    </row>
    <row r="33" spans="2:13" ht="22.5" customHeight="1">
      <c r="B33" s="504" t="s">
        <v>174</v>
      </c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</row>
    <row r="34" spans="2:13" ht="22.5" customHeight="1">
      <c r="B34" s="97" t="s">
        <v>175</v>
      </c>
      <c r="C34" s="98" t="str">
        <f>VLOOKUP(B34,ИСХОДНИК!A:P,5,FALSE())</f>
        <v>SVA 15 D ANG PN 52</v>
      </c>
      <c r="D34" s="105" t="str">
        <f>VLOOKUP(B34,ИСХОДНИК!A:P,6,FALSE())</f>
        <v>Угловой</v>
      </c>
      <c r="E34" s="134" t="str">
        <f>VLOOKUP(B34,ИСХОДНИК!A:P,11,FALSE())</f>
        <v>Под сварку встык DIN</v>
      </c>
      <c r="F34" s="105">
        <f>VLOOKUP(B34,ИСХОДНИК!A:P,7,FALSE())</f>
        <v>15</v>
      </c>
      <c r="G34" s="137" t="str">
        <f>VLOOKUP(B34,ИСХОДНИК!A:P,10,FALSE())</f>
        <v>R717, R744 и фреоны</v>
      </c>
      <c r="H34" s="137">
        <f>VLOOKUP(B34,ИСХОДНИК!A:P,8,FALSE())</f>
        <v>52</v>
      </c>
      <c r="I34" s="137" t="str">
        <f>VLOOKUP(B34,ИСХОДНИК!A:P,9,FALSE())</f>
        <v xml:space="preserve"> -60…120</v>
      </c>
      <c r="J34" s="105" t="str">
        <f>VLOOKUP(B34,ИСХОДНИК!A:P,15,FALSE())</f>
        <v>U6 PL40R</v>
      </c>
      <c r="K34" s="139">
        <f>VLOOKUP(B34,ИСХОДНИК!A:P,13,FALSE())</f>
        <v>28800</v>
      </c>
      <c r="L34" s="139">
        <f>VLOOKUP(B34,ИСХОДНИК!A:P,14,FALSE())</f>
        <v>33408</v>
      </c>
      <c r="M34" s="140" t="str">
        <f>IF(VLOOKUP(B34,ИСХОДНИК!A:R,18,FALSE())=1,ИСХОДНИК!$T$2,IF(VLOOKUP(B34,ИСХОДНИК!A:R,18,FALSE())=2,ИСХОДНИК!$T$5,IF(VLOOKUP(B34,ИСХОДНИК!A:R,18,FALSE())=3,ИСХОДНИК!$T$6)))</f>
        <v>●</v>
      </c>
    </row>
    <row r="35" spans="2:13" ht="22.5" customHeight="1">
      <c r="B35" s="97" t="s">
        <v>176</v>
      </c>
      <c r="C35" s="196" t="str">
        <f>VLOOKUP(B35,ИСХОДНИК!A:P,5,FALSE())</f>
        <v>SVA 20 D ANG PN 52</v>
      </c>
      <c r="D35" s="105" t="str">
        <f>VLOOKUP(B35,ИСХОДНИК!A:P,6,FALSE())</f>
        <v>Угловой</v>
      </c>
      <c r="E35" s="197" t="str">
        <f>VLOOKUP(B35,ИСХОДНИК!A:P,11,FALSE())</f>
        <v>Под сварку встык DIN</v>
      </c>
      <c r="F35" s="182">
        <f>VLOOKUP(B35,ИСХОДНИК!A:P,7,FALSE())</f>
        <v>20</v>
      </c>
      <c r="G35" s="137" t="str">
        <f>VLOOKUP(B35,ИСХОДНИК!A:P,10,FALSE())</f>
        <v>R717, R744 и фреоны</v>
      </c>
      <c r="H35" s="181">
        <f>VLOOKUP(B35,ИСХОДНИК!A:P,8,FALSE())</f>
        <v>52</v>
      </c>
      <c r="I35" s="137" t="str">
        <f>VLOOKUP(B35,ИСХОДНИК!A:P,9,FALSE())</f>
        <v xml:space="preserve"> -60…120</v>
      </c>
      <c r="J35" s="105" t="str">
        <f>VLOOKUP(B35,ИСХОДНИК!A:P,15,FALSE())</f>
        <v>U6 PL40R</v>
      </c>
      <c r="K35" s="139">
        <f>VLOOKUP(B35,ИСХОДНИК!A:P,13,FALSE())</f>
        <v>32400</v>
      </c>
      <c r="L35" s="139">
        <f>VLOOKUP(B35,ИСХОДНИК!A:P,14,FALSE())</f>
        <v>37584</v>
      </c>
      <c r="M35" s="198" t="str">
        <f>IF(VLOOKUP(B35,ИСХОДНИК!A:R,18,FALSE())=1,ИСХОДНИК!$T$2,IF(VLOOKUP(B35,ИСХОДНИК!A:R,18,FALSE())=2,ИСХОДНИК!$T$5,IF(VLOOKUP(B35,ИСХОДНИК!A:R,18,FALSE())=3,ИСХОДНИК!$T$6)))</f>
        <v>●</v>
      </c>
    </row>
    <row r="36" spans="2:13" ht="22.5" customHeight="1">
      <c r="B36" s="97" t="s">
        <v>177</v>
      </c>
      <c r="C36" s="196" t="str">
        <f>VLOOKUP(B36,ИСХОДНИК!A:P,5,FALSE())</f>
        <v>SVA 25 D ANG PN 52</v>
      </c>
      <c r="D36" s="105" t="str">
        <f>VLOOKUP(B36,ИСХОДНИК!A:P,6,FALSE())</f>
        <v>Угловой</v>
      </c>
      <c r="E36" s="197" t="str">
        <f>VLOOKUP(B36,ИСХОДНИК!A:P,11,FALSE())</f>
        <v>Под сварку встык DIN</v>
      </c>
      <c r="F36" s="182">
        <f>VLOOKUP(B36,ИСХОДНИК!A:P,7,FALSE())</f>
        <v>25</v>
      </c>
      <c r="G36" s="137" t="str">
        <f>VLOOKUP(B36,ИСХОДНИК!A:P,10,FALSE())</f>
        <v>R717, R744 и фреоны</v>
      </c>
      <c r="H36" s="181">
        <f>VLOOKUP(B36,ИСХОДНИК!A:P,8,FALSE())</f>
        <v>52</v>
      </c>
      <c r="I36" s="137" t="str">
        <f>VLOOKUP(B36,ИСХОДНИК!A:P,9,FALSE())</f>
        <v xml:space="preserve"> -60…120</v>
      </c>
      <c r="J36" s="105" t="str">
        <f>VLOOKUP(B36,ИСХОДНИК!A:P,15,FALSE())</f>
        <v>U6 PL40R</v>
      </c>
      <c r="K36" s="139">
        <f>VLOOKUP(B36,ИСХОДНИК!A:P,13,FALSE())</f>
        <v>39600</v>
      </c>
      <c r="L36" s="139">
        <f>VLOOKUP(B36,ИСХОДНИК!A:P,14,FALSE())</f>
        <v>45936</v>
      </c>
      <c r="M36" s="198" t="str">
        <f>IF(VLOOKUP(B36,ИСХОДНИК!A:R,18,FALSE())=1,ИСХОДНИК!$T$2,IF(VLOOKUP(B36,ИСХОДНИК!A:R,18,FALSE())=2,ИСХОДНИК!$T$5,IF(VLOOKUP(B36,ИСХОДНИК!A:R,18,FALSE())=3,ИСХОДНИК!$T$6)))</f>
        <v>●</v>
      </c>
    </row>
    <row r="37" spans="2:13" ht="22.5" customHeight="1">
      <c r="B37" s="97" t="s">
        <v>178</v>
      </c>
      <c r="C37" s="196" t="str">
        <f>VLOOKUP(B37,ИСХОДНИК!A:P,5,FALSE())</f>
        <v>SVA 32 D ANG PN 52</v>
      </c>
      <c r="D37" s="105" t="str">
        <f>VLOOKUP(B37,ИСХОДНИК!A:P,6,FALSE())</f>
        <v>Угловой</v>
      </c>
      <c r="E37" s="197" t="str">
        <f>VLOOKUP(B37,ИСХОДНИК!A:P,11,FALSE())</f>
        <v>Под сварку встык DIN</v>
      </c>
      <c r="F37" s="182">
        <f>VLOOKUP(B37,ИСХОДНИК!A:P,7,FALSE())</f>
        <v>32</v>
      </c>
      <c r="G37" s="137" t="str">
        <f>VLOOKUP(B37,ИСХОДНИК!A:P,10,FALSE())</f>
        <v>R717, R744 и фреоны</v>
      </c>
      <c r="H37" s="181">
        <f>VLOOKUP(B37,ИСХОДНИК!A:P,8,FALSE())</f>
        <v>52</v>
      </c>
      <c r="I37" s="137" t="str">
        <f>VLOOKUP(B37,ИСХОДНИК!A:P,9,FALSE())</f>
        <v xml:space="preserve"> -60…120</v>
      </c>
      <c r="J37" s="105" t="str">
        <f>VLOOKUP(B37,ИСХОДНИК!A:P,15,FALSE())</f>
        <v>U6 PL40R</v>
      </c>
      <c r="K37" s="139">
        <f>VLOOKUP(B37,ИСХОДНИК!A:P,13,FALSE())</f>
        <v>50400</v>
      </c>
      <c r="L37" s="139">
        <f>VLOOKUP(B37,ИСХОДНИК!A:P,14,FALSE())</f>
        <v>58463.999999999993</v>
      </c>
      <c r="M37" s="198" t="str">
        <f>IF(VLOOKUP(B37,ИСХОДНИК!A:R,18,FALSE())=1,ИСХОДНИК!$T$2,IF(VLOOKUP(B37,ИСХОДНИК!A:R,18,FALSE())=2,ИСХОДНИК!$T$5,IF(VLOOKUP(B37,ИСХОДНИК!A:R,18,FALSE())=3,ИСХОДНИК!$T$6)))</f>
        <v>●</v>
      </c>
    </row>
    <row r="38" spans="2:13" ht="22.5" customHeight="1">
      <c r="B38" s="97" t="s">
        <v>179</v>
      </c>
      <c r="C38" s="196" t="str">
        <f>VLOOKUP(B38,ИСХОДНИК!A:P,5,FALSE())</f>
        <v>SVA 40 D ANG PN 52</v>
      </c>
      <c r="D38" s="105" t="str">
        <f>VLOOKUP(B38,ИСХОДНИК!A:P,6,FALSE())</f>
        <v>Угловой</v>
      </c>
      <c r="E38" s="197" t="str">
        <f>VLOOKUP(B38,ИСХОДНИК!A:P,11,FALSE())</f>
        <v>Под сварку встык DIN</v>
      </c>
      <c r="F38" s="182">
        <f>VLOOKUP(B38,ИСХОДНИК!A:P,7,FALSE())</f>
        <v>40</v>
      </c>
      <c r="G38" s="137" t="str">
        <f>VLOOKUP(B38,ИСХОДНИК!A:P,10,FALSE())</f>
        <v>R717, R744 и фреоны</v>
      </c>
      <c r="H38" s="181">
        <f>VLOOKUP(B38,ИСХОДНИК!A:P,8,FALSE())</f>
        <v>52</v>
      </c>
      <c r="I38" s="137" t="str">
        <f>VLOOKUP(B38,ИСХОДНИК!A:P,9,FALSE())</f>
        <v xml:space="preserve"> -60…120</v>
      </c>
      <c r="J38" s="105" t="str">
        <f>VLOOKUP(B38,ИСХОДНИК!A:P,15,FALSE())</f>
        <v>U6 PL40R</v>
      </c>
      <c r="K38" s="139">
        <f>VLOOKUP(B38,ИСХОДНИК!A:P,13,FALSE())</f>
        <v>67200</v>
      </c>
      <c r="L38" s="139">
        <f>VLOOKUP(B38,ИСХОДНИК!A:P,14,FALSE())</f>
        <v>77952</v>
      </c>
      <c r="M38" s="198" t="str">
        <f>IF(VLOOKUP(B38,ИСХОДНИК!A:R,18,FALSE())=1,ИСХОДНИК!$T$2,IF(VLOOKUP(B38,ИСХОДНИК!A:R,18,FALSE())=2,ИСХОДНИК!$T$5,IF(VLOOKUP(B38,ИСХОДНИК!A:R,18,FALSE())=3,ИСХОДНИК!$T$6)))</f>
        <v>●</v>
      </c>
    </row>
    <row r="39" spans="2:13" ht="22.5" customHeight="1">
      <c r="B39" s="97" t="s">
        <v>180</v>
      </c>
      <c r="C39" s="196" t="str">
        <f>VLOOKUP(B39,ИСХОДНИК!A:P,5,FALSE())</f>
        <v>SVA 50 D ANG PN 52</v>
      </c>
      <c r="D39" s="105" t="str">
        <f>VLOOKUP(B39,ИСХОДНИК!A:P,6,FALSE())</f>
        <v>Угловой</v>
      </c>
      <c r="E39" s="197" t="str">
        <f>VLOOKUP(B39,ИСХОДНИК!A:P,11,FALSE())</f>
        <v>Под сварку встык DIN</v>
      </c>
      <c r="F39" s="182">
        <f>VLOOKUP(B39,ИСХОДНИК!A:P,7,FALSE())</f>
        <v>50</v>
      </c>
      <c r="G39" s="137" t="str">
        <f>VLOOKUP(B39,ИСХОДНИК!A:P,10,FALSE())</f>
        <v>R717, R744 и фреоны</v>
      </c>
      <c r="H39" s="181">
        <f>VLOOKUP(B39,ИСХОДНИК!A:P,8,FALSE())</f>
        <v>52</v>
      </c>
      <c r="I39" s="137" t="str">
        <f>VLOOKUP(B39,ИСХОДНИК!A:P,9,FALSE())</f>
        <v xml:space="preserve"> -60…120</v>
      </c>
      <c r="J39" s="105" t="str">
        <f>VLOOKUP(B39,ИСХОДНИК!A:P,15,FALSE())</f>
        <v>U6 PL40R</v>
      </c>
      <c r="K39" s="139">
        <f>VLOOKUP(B39,ИСХОДНИК!A:P,13,FALSE())</f>
        <v>81000</v>
      </c>
      <c r="L39" s="139">
        <f>VLOOKUP(B39,ИСХОДНИК!A:P,14,FALSE())</f>
        <v>93960</v>
      </c>
      <c r="M39" s="198" t="str">
        <f>IF(VLOOKUP(B39,ИСХОДНИК!A:R,18,FALSE())=1,ИСХОДНИК!$T$2,IF(VLOOKUP(B39,ИСХОДНИК!A:R,18,FALSE())=2,ИСХОДНИК!$T$5,IF(VLOOKUP(B39,ИСХОДНИК!A:R,18,FALSE())=3,ИСХОДНИК!$T$6)))</f>
        <v>●</v>
      </c>
    </row>
    <row r="40" spans="2:13" ht="22.5" customHeight="1">
      <c r="B40" s="97" t="s">
        <v>181</v>
      </c>
      <c r="C40" s="196" t="str">
        <f>VLOOKUP(B40,ИСХОДНИК!A:P,5,FALSE())</f>
        <v>SVA 65 D ANG PN 52</v>
      </c>
      <c r="D40" s="105" t="str">
        <f>VLOOKUP(B40,ИСХОДНИК!A:P,6,FALSE())</f>
        <v>Угловой</v>
      </c>
      <c r="E40" s="197" t="str">
        <f>VLOOKUP(B40,ИСХОДНИК!A:P,11,FALSE())</f>
        <v>Под сварку встык DIN</v>
      </c>
      <c r="F40" s="182">
        <f>VLOOKUP(B40,ИСХОДНИК!A:P,7,FALSE())</f>
        <v>65</v>
      </c>
      <c r="G40" s="137" t="str">
        <f>VLOOKUP(B40,ИСХОДНИК!A:P,10,FALSE())</f>
        <v>R717, R744 и фреоны</v>
      </c>
      <c r="H40" s="181">
        <f>VLOOKUP(B40,ИСХОДНИК!A:P,8,FALSE())</f>
        <v>52</v>
      </c>
      <c r="I40" s="137" t="str">
        <f>VLOOKUP(B40,ИСХОДНИК!A:P,9,FALSE())</f>
        <v xml:space="preserve"> -60…120</v>
      </c>
      <c r="J40" s="105" t="str">
        <f>VLOOKUP(B40,ИСХОДНИК!A:P,15,FALSE())</f>
        <v>U6 PL40R</v>
      </c>
      <c r="K40" s="139">
        <f>VLOOKUP(B40,ИСХОДНИК!A:P,13,FALSE())</f>
        <v>105000</v>
      </c>
      <c r="L40" s="139">
        <f>VLOOKUP(B40,ИСХОДНИК!A:P,14,FALSE())</f>
        <v>121799.99999999999</v>
      </c>
      <c r="M40" s="198" t="str">
        <f>IF(VLOOKUP(B40,ИСХОДНИК!A:R,18,FALSE())=1,ИСХОДНИК!$T$2,IF(VLOOKUP(B40,ИСХОДНИК!A:R,18,FALSE())=2,ИСХОДНИК!$T$5,IF(VLOOKUP(B40,ИСХОДНИК!A:R,18,FALSE())=3,ИСХОДНИК!$T$6)))</f>
        <v>●</v>
      </c>
    </row>
    <row r="41" spans="2:13" ht="22.5" customHeight="1">
      <c r="B41" s="97" t="s">
        <v>182</v>
      </c>
      <c r="C41" s="196" t="str">
        <f>VLOOKUP(B41,ИСХОДНИК!A:P,5,FALSE())</f>
        <v>SVA 80 D ANG PN 52</v>
      </c>
      <c r="D41" s="105" t="str">
        <f>VLOOKUP(B41,ИСХОДНИК!A:P,6,FALSE())</f>
        <v>Угловой</v>
      </c>
      <c r="E41" s="197" t="str">
        <f>VLOOKUP(B41,ИСХОДНИК!A:P,11,FALSE())</f>
        <v>Под сварку встык DIN</v>
      </c>
      <c r="F41" s="182">
        <f>VLOOKUP(B41,ИСХОДНИК!A:P,7,FALSE())</f>
        <v>80</v>
      </c>
      <c r="G41" s="137" t="str">
        <f>VLOOKUP(B41,ИСХОДНИК!A:P,10,FALSE())</f>
        <v>R717, R744 и фреоны</v>
      </c>
      <c r="H41" s="181">
        <f>VLOOKUP(B41,ИСХОДНИК!A:P,8,FALSE())</f>
        <v>52</v>
      </c>
      <c r="I41" s="137" t="str">
        <f>VLOOKUP(B41,ИСХОДНИК!A:P,9,FALSE())</f>
        <v xml:space="preserve"> -60…120</v>
      </c>
      <c r="J41" s="105" t="str">
        <f>VLOOKUP(B41,ИСХОДНИК!A:P,15,FALSE())</f>
        <v>U6 PL40R</v>
      </c>
      <c r="K41" s="139">
        <f>VLOOKUP(B41,ИСХОДНИК!A:P,13,FALSE())</f>
        <v>121800</v>
      </c>
      <c r="L41" s="139">
        <f>VLOOKUP(B41,ИСХОДНИК!A:P,14,FALSE())</f>
        <v>141288</v>
      </c>
      <c r="M41" s="198" t="str">
        <f>IF(VLOOKUP(B41,ИСХОДНИК!A:R,18,FALSE())=1,ИСХОДНИК!$T$2,IF(VLOOKUP(B41,ИСХОДНИК!A:R,18,FALSE())=2,ИСХОДНИК!$T$5,IF(VLOOKUP(B41,ИСХОДНИК!A:R,18,FALSE())=3,ИСХОДНИК!$T$6)))</f>
        <v>●</v>
      </c>
    </row>
    <row r="42" spans="2:13" ht="22.5" customHeight="1">
      <c r="B42" s="97" t="s">
        <v>183</v>
      </c>
      <c r="C42" s="196" t="str">
        <f>VLOOKUP(B42,ИСХОДНИК!A:P,5,FALSE())</f>
        <v>SVA 100 D ANG PN 52</v>
      </c>
      <c r="D42" s="105" t="str">
        <f>VLOOKUP(B42,ИСХОДНИК!A:P,6,FALSE())</f>
        <v>Угловой</v>
      </c>
      <c r="E42" s="197" t="str">
        <f>VLOOKUP(B42,ИСХОДНИК!A:P,11,FALSE())</f>
        <v>Под сварку встык DIN</v>
      </c>
      <c r="F42" s="182">
        <f>VLOOKUP(B42,ИСХОДНИК!A:P,7,FALSE())</f>
        <v>100</v>
      </c>
      <c r="G42" s="137" t="str">
        <f>VLOOKUP(B42,ИСХОДНИК!A:P,10,FALSE())</f>
        <v>R717, R744 и фреоны</v>
      </c>
      <c r="H42" s="181">
        <f>VLOOKUP(B42,ИСХОДНИК!A:P,8,FALSE())</f>
        <v>52</v>
      </c>
      <c r="I42" s="137" t="str">
        <f>VLOOKUP(B42,ИСХОДНИК!A:P,9,FALSE())</f>
        <v xml:space="preserve"> -60…120</v>
      </c>
      <c r="J42" s="105" t="str">
        <f>VLOOKUP(B42,ИСХОДНИК!A:P,15,FALSE())</f>
        <v>U6 PL40R</v>
      </c>
      <c r="K42" s="139">
        <f>VLOOKUP(B42,ИСХОДНИК!A:P,13,FALSE())</f>
        <v>246000</v>
      </c>
      <c r="L42" s="139">
        <f>VLOOKUP(B42,ИСХОДНИК!A:P,14,FALSE())</f>
        <v>285360</v>
      </c>
      <c r="M42" s="198" t="str">
        <f>IF(VLOOKUP(B42,ИСХОДНИК!A:R,18,FALSE())=1,ИСХОДНИК!$T$2,IF(VLOOKUP(B42,ИСХОДНИК!A:R,18,FALSE())=2,ИСХОДНИК!$T$5,IF(VLOOKUP(B42,ИСХОДНИК!A:R,18,FALSE())=3,ИСХОДНИК!$T$6)))</f>
        <v>●</v>
      </c>
    </row>
    <row r="43" spans="2:13" ht="22.5" customHeight="1">
      <c r="B43" s="97" t="s">
        <v>184</v>
      </c>
      <c r="C43" s="196" t="str">
        <f>VLOOKUP(B43,ИСХОДНИК!A:P,5,FALSE())</f>
        <v>SVA 100 G ANG PN 52</v>
      </c>
      <c r="D43" s="105" t="str">
        <f>VLOOKUP(B43,ИСХОДНИК!A:P,6,FALSE())</f>
        <v>Угловой</v>
      </c>
      <c r="E43" s="197" t="str">
        <f>VLOOKUP(B43,ИСХОДНИК!A:P,11,FALSE())</f>
        <v>Под сварку встык GOST</v>
      </c>
      <c r="F43" s="182">
        <f>VLOOKUP(B43,ИСХОДНИК!A:P,7,FALSE())</f>
        <v>100</v>
      </c>
      <c r="G43" s="137" t="str">
        <f>VLOOKUP(B43,ИСХОДНИК!A:P,10,FALSE())</f>
        <v>R717, R744 и фреоны</v>
      </c>
      <c r="H43" s="181">
        <f>VLOOKUP(B43,ИСХОДНИК!A:P,8,FALSE())</f>
        <v>52</v>
      </c>
      <c r="I43" s="137" t="str">
        <f>VLOOKUP(B43,ИСХОДНИК!A:P,9,FALSE())</f>
        <v xml:space="preserve"> -60…120</v>
      </c>
      <c r="J43" s="105" t="str">
        <f>VLOOKUP(B43,ИСХОДНИК!A:P,15,FALSE())</f>
        <v>U6 PL40R</v>
      </c>
      <c r="K43" s="139">
        <f>VLOOKUP(B43,ИСХОДНИК!A:P,13,FALSE())</f>
        <v>246000</v>
      </c>
      <c r="L43" s="139">
        <f>VLOOKUP(B43,ИСХОДНИК!A:P,14,FALSE())</f>
        <v>285360</v>
      </c>
      <c r="M43" s="198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3" ht="22.5" customHeight="1">
      <c r="B44" s="97" t="s">
        <v>185</v>
      </c>
      <c r="C44" s="196" t="str">
        <f>VLOOKUP(B44,ИСХОДНИК!A:P,5,FALSE())</f>
        <v>SVA 100 D ANG PN 40</v>
      </c>
      <c r="D44" s="105" t="str">
        <f>VLOOKUP(B44,ИСХОДНИК!A:P,6,FALSE())</f>
        <v>Угловой</v>
      </c>
      <c r="E44" s="197" t="str">
        <f>VLOOKUP(B44,ИСХОДНИК!A:P,11,FALSE())</f>
        <v>Под сварку встык DIN</v>
      </c>
      <c r="F44" s="182">
        <f>VLOOKUP(B44,ИСХОДНИК!A:P,7,FALSE())</f>
        <v>100</v>
      </c>
      <c r="G44" s="137" t="str">
        <f>VLOOKUP(B44,ИСХОДНИК!A:P,10,FALSE())</f>
        <v>R717, R744 и фреоны</v>
      </c>
      <c r="H44" s="181">
        <f>VLOOKUP(B44,ИСХОДНИК!A:P,8,FALSE())</f>
        <v>40</v>
      </c>
      <c r="I44" s="137" t="str">
        <f>VLOOKUP(B44,ИСХОДНИК!A:P,9,FALSE())</f>
        <v xml:space="preserve"> -60…120</v>
      </c>
      <c r="J44" s="105" t="str">
        <f>VLOOKUP(B44,ИСХОДНИК!A:P,15,FALSE())</f>
        <v>U6 PL40R</v>
      </c>
      <c r="K44" s="139">
        <f>VLOOKUP(B44,ИСХОДНИК!A:P,13,FALSE())</f>
        <v>210000</v>
      </c>
      <c r="L44" s="139">
        <f>VLOOKUP(B44,ИСХОДНИК!A:P,14,FALSE())</f>
        <v>243599.99999999997</v>
      </c>
      <c r="M44" s="199" t="str">
        <f>IF(VLOOKUP(B44,ИСХОДНИК!A:R,18,FALSE())=1,ИСХОДНИК!$T$2,IF(VLOOKUP(B44,ИСХОДНИК!A:R,18,FALSE())=2,ИСХОДНИК!$T$5,IF(VLOOKUP(B44,ИСХОДНИК!A:R,18,FALSE())=3,ИСХОДНИК!$T$6)))</f>
        <v>◑</v>
      </c>
    </row>
    <row r="45" spans="2:13" ht="22.5" customHeight="1">
      <c r="B45" s="97" t="s">
        <v>186</v>
      </c>
      <c r="C45" s="196" t="str">
        <f>VLOOKUP(B45,ИСХОДНИК!A:P,5,FALSE())</f>
        <v>SVA 100 G ANG PN 40</v>
      </c>
      <c r="D45" s="105" t="str">
        <f>VLOOKUP(B45,ИСХОДНИК!A:P,6,FALSE())</f>
        <v>Угловой</v>
      </c>
      <c r="E45" s="197" t="str">
        <f>VLOOKUP(B45,ИСХОДНИК!A:P,11,FALSE())</f>
        <v>Под сварку встык GOST</v>
      </c>
      <c r="F45" s="182">
        <f>VLOOKUP(B45,ИСХОДНИК!A:P,7,FALSE())</f>
        <v>100</v>
      </c>
      <c r="G45" s="137" t="str">
        <f>VLOOKUP(B45,ИСХОДНИК!A:P,10,FALSE())</f>
        <v>R717, R744 и фреоны</v>
      </c>
      <c r="H45" s="181">
        <f>VLOOKUP(B45,ИСХОДНИК!A:P,8,FALSE())</f>
        <v>40</v>
      </c>
      <c r="I45" s="137" t="str">
        <f>VLOOKUP(B45,ИСХОДНИК!A:P,9,FALSE())</f>
        <v xml:space="preserve"> -60…120</v>
      </c>
      <c r="J45" s="105" t="str">
        <f>VLOOKUP(B45,ИСХОДНИК!A:P,15,FALSE())</f>
        <v>U6 PL40R</v>
      </c>
      <c r="K45" s="139">
        <f>VLOOKUP(B45,ИСХОДНИК!A:P,13,FALSE())</f>
        <v>210000</v>
      </c>
      <c r="L45" s="139">
        <f>VLOOKUP(B45,ИСХОДНИК!A:P,14,FALSE())</f>
        <v>243599.99999999997</v>
      </c>
      <c r="M45" s="198" t="str">
        <f>IF(VLOOKUP(B45,ИСХОДНИК!A:R,18,FALSE())=1,ИСХОДНИК!$T$2,IF(VLOOKUP(B45,ИСХОДНИК!A:R,18,FALSE())=2,ИСХОДНИК!$T$5,IF(VLOOKUP(B45,ИСХОДНИК!A:R,18,FALSE())=3,ИСХОДНИК!$T$6)))</f>
        <v>○</v>
      </c>
    </row>
    <row r="46" spans="2:13" ht="22.5" customHeight="1">
      <c r="B46" s="97" t="s">
        <v>187</v>
      </c>
      <c r="C46" s="196" t="str">
        <f>VLOOKUP(B46,ИСХОДНИК!A:P,5,FALSE())</f>
        <v>SVA 125 D ANG PN 52</v>
      </c>
      <c r="D46" s="105" t="str">
        <f>VLOOKUP(B46,ИСХОДНИК!A:P,6,FALSE())</f>
        <v>Угловой</v>
      </c>
      <c r="E46" s="197" t="str">
        <f>VLOOKUP(B46,ИСХОДНИК!A:P,11,FALSE())</f>
        <v>Под сварку встык DIN</v>
      </c>
      <c r="F46" s="182">
        <f>VLOOKUP(B46,ИСХОДНИК!A:P,7,FALSE())</f>
        <v>125</v>
      </c>
      <c r="G46" s="137" t="str">
        <f>VLOOKUP(B46,ИСХОДНИК!A:P,10,FALSE())</f>
        <v>R717, R744 и фреоны</v>
      </c>
      <c r="H46" s="181">
        <f>VLOOKUP(B46,ИСХОДНИК!A:P,8,FALSE())</f>
        <v>52</v>
      </c>
      <c r="I46" s="137" t="str">
        <f>VLOOKUP(B46,ИСХОДНИК!A:P,9,FALSE())</f>
        <v xml:space="preserve"> -60…120</v>
      </c>
      <c r="J46" s="105" t="str">
        <f>VLOOKUP(B46,ИСХОДНИК!A:P,15,FALSE())</f>
        <v>U6 PL40R</v>
      </c>
      <c r="K46" s="139">
        <f>VLOOKUP(B46,ИСХОДНИК!A:P,13,FALSE())</f>
        <v>420000</v>
      </c>
      <c r="L46" s="139">
        <f>VLOOKUP(B46,ИСХОДНИК!A:P,14,FALSE())</f>
        <v>487199.99999999994</v>
      </c>
      <c r="M46" s="198" t="str">
        <f>IF(VLOOKUP(B46,ИСХОДНИК!A:R,18,FALSE())=1,ИСХОДНИК!$T$2,IF(VLOOKUP(B46,ИСХОДНИК!A:R,18,FALSE())=2,ИСХОДНИК!$T$5,IF(VLOOKUP(B46,ИСХОДНИК!A:R,18,FALSE())=3,ИСХОДНИК!$T$6)))</f>
        <v>●</v>
      </c>
    </row>
    <row r="47" spans="2:13" ht="22.5" customHeight="1">
      <c r="B47" s="97" t="s">
        <v>188</v>
      </c>
      <c r="C47" s="196" t="str">
        <f>VLOOKUP(B47,ИСХОДНИК!A:P,5,FALSE())</f>
        <v>SVA 125 G ANG PN 52</v>
      </c>
      <c r="D47" s="105" t="str">
        <f>VLOOKUP(B47,ИСХОДНИК!A:P,6,FALSE())</f>
        <v>Угловой</v>
      </c>
      <c r="E47" s="197" t="str">
        <f>VLOOKUP(B47,ИСХОДНИК!A:P,11,FALSE())</f>
        <v>Под сварку встык GOST</v>
      </c>
      <c r="F47" s="182">
        <f>VLOOKUP(B47,ИСХОДНИК!A:P,7,FALSE())</f>
        <v>125</v>
      </c>
      <c r="G47" s="137" t="str">
        <f>VLOOKUP(B47,ИСХОДНИК!A:P,10,FALSE())</f>
        <v>R717, R744 и фреоны</v>
      </c>
      <c r="H47" s="181">
        <f>VLOOKUP(B47,ИСХОДНИК!A:P,8,FALSE())</f>
        <v>52</v>
      </c>
      <c r="I47" s="137" t="str">
        <f>VLOOKUP(B47,ИСХОДНИК!A:P,9,FALSE())</f>
        <v xml:space="preserve"> -60…120</v>
      </c>
      <c r="J47" s="105" t="str">
        <f>VLOOKUP(B47,ИСХОДНИК!A:P,15,FALSE())</f>
        <v>U6 PL40R</v>
      </c>
      <c r="K47" s="139">
        <f>VLOOKUP(B47,ИСХОДНИК!A:P,13,FALSE())</f>
        <v>420000</v>
      </c>
      <c r="L47" s="139">
        <f>VLOOKUP(B47,ИСХОДНИК!A:P,14,FALSE())</f>
        <v>487199.99999999994</v>
      </c>
      <c r="M47" s="198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3" ht="22.5" customHeight="1">
      <c r="B48" s="97" t="s">
        <v>189</v>
      </c>
      <c r="C48" s="196" t="str">
        <f>VLOOKUP(B48,ИСХОДНИК!A:P,5,FALSE())</f>
        <v>SVA 125 D ANG PN 40</v>
      </c>
      <c r="D48" s="105" t="str">
        <f>VLOOKUP(B48,ИСХОДНИК!A:P,6,FALSE())</f>
        <v>Угловой</v>
      </c>
      <c r="E48" s="197" t="str">
        <f>VLOOKUP(B48,ИСХОДНИК!A:P,11,FALSE())</f>
        <v>Под сварку встык DIN</v>
      </c>
      <c r="F48" s="182">
        <f>VLOOKUP(B48,ИСХОДНИК!A:P,7,FALSE())</f>
        <v>125</v>
      </c>
      <c r="G48" s="137" t="str">
        <f>VLOOKUP(B48,ИСХОДНИК!A:P,10,FALSE())</f>
        <v>R717, R744 и фреоны</v>
      </c>
      <c r="H48" s="181">
        <f>VLOOKUP(B48,ИСХОДНИК!A:P,8,FALSE())</f>
        <v>40</v>
      </c>
      <c r="I48" s="137" t="str">
        <f>VLOOKUP(B48,ИСХОДНИК!A:P,9,FALSE())</f>
        <v xml:space="preserve"> -60…120</v>
      </c>
      <c r="J48" s="105" t="str">
        <f>VLOOKUP(B48,ИСХОДНИК!A:P,15,FALSE())</f>
        <v>U6 PL40R</v>
      </c>
      <c r="K48" s="139">
        <f>VLOOKUP(B48,ИСХОДНИК!A:P,13,FALSE())</f>
        <v>348000</v>
      </c>
      <c r="L48" s="139">
        <f>VLOOKUP(B48,ИСХОДНИК!A:P,14,FALSE())</f>
        <v>403680</v>
      </c>
      <c r="M48" s="199" t="str">
        <f>IF(VLOOKUP(B48,ИСХОДНИК!A:R,18,FALSE())=1,ИСХОДНИК!$T$2,IF(VLOOKUP(B48,ИСХОДНИК!A:R,18,FALSE())=2,ИСХОДНИК!$T$5,IF(VLOOKUP(B48,ИСХОДНИК!A:R,18,FALSE())=3,ИСХОДНИК!$T$6)))</f>
        <v>◑</v>
      </c>
    </row>
    <row r="49" spans="1:13" ht="22.5" customHeight="1">
      <c r="B49" s="97" t="s">
        <v>190</v>
      </c>
      <c r="C49" s="196" t="str">
        <f>VLOOKUP(B49,ИСХОДНИК!A:P,5,FALSE())</f>
        <v>SVA 125 G ANG PN 40</v>
      </c>
      <c r="D49" s="105" t="str">
        <f>VLOOKUP(B49,ИСХОДНИК!A:P,6,FALSE())</f>
        <v>Угловой</v>
      </c>
      <c r="E49" s="197" t="str">
        <f>VLOOKUP(B49,ИСХОДНИК!A:P,11,FALSE())</f>
        <v>Под сварку встык GOST</v>
      </c>
      <c r="F49" s="182">
        <f>VLOOKUP(B49,ИСХОДНИК!A:P,7,FALSE())</f>
        <v>125</v>
      </c>
      <c r="G49" s="137" t="str">
        <f>VLOOKUP(B49,ИСХОДНИК!A:P,10,FALSE())</f>
        <v>R717, R744 и фреоны</v>
      </c>
      <c r="H49" s="181">
        <f>VLOOKUP(B49,ИСХОДНИК!A:P,8,FALSE())</f>
        <v>40</v>
      </c>
      <c r="I49" s="137" t="str">
        <f>VLOOKUP(B49,ИСХОДНИК!A:P,9,FALSE())</f>
        <v xml:space="preserve"> -60…120</v>
      </c>
      <c r="J49" s="105" t="str">
        <f>VLOOKUP(B49,ИСХОДНИК!A:P,15,FALSE())</f>
        <v>U6 PL40R</v>
      </c>
      <c r="K49" s="139">
        <f>VLOOKUP(B49,ИСХОДНИК!A:P,13,FALSE())</f>
        <v>348000</v>
      </c>
      <c r="L49" s="139">
        <f>VLOOKUP(B49,ИСХОДНИК!A:P,14,FALSE())</f>
        <v>403680</v>
      </c>
      <c r="M49" s="198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1:13" ht="22.5" customHeight="1">
      <c r="B50" s="97" t="s">
        <v>191</v>
      </c>
      <c r="C50" s="196" t="str">
        <f>VLOOKUP(B50,ИСХОДНИК!A:P,5,FALSE())</f>
        <v>SVA 150 D ANG PN 52</v>
      </c>
      <c r="D50" s="105" t="str">
        <f>VLOOKUP(B50,ИСХОДНИК!A:P,6,FALSE())</f>
        <v>Угловой</v>
      </c>
      <c r="E50" s="197" t="str">
        <f>VLOOKUP(B50,ИСХОДНИК!A:P,11,FALSE())</f>
        <v>Под сварку встык DIN</v>
      </c>
      <c r="F50" s="182">
        <f>VLOOKUP(B50,ИСХОДНИК!A:P,7,FALSE())</f>
        <v>150</v>
      </c>
      <c r="G50" s="137" t="str">
        <f>VLOOKUP(B50,ИСХОДНИК!A:P,10,FALSE())</f>
        <v>R717, R744 и фреоны</v>
      </c>
      <c r="H50" s="181">
        <f>VLOOKUP(B50,ИСХОДНИК!A:P,8,FALSE())</f>
        <v>52</v>
      </c>
      <c r="I50" s="137" t="str">
        <f>VLOOKUP(B50,ИСХОДНИК!A:P,9,FALSE())</f>
        <v xml:space="preserve"> -60…120</v>
      </c>
      <c r="J50" s="105" t="str">
        <f>VLOOKUP(B50,ИСХОДНИК!A:P,15,FALSE())</f>
        <v>U6 PL40R</v>
      </c>
      <c r="K50" s="139">
        <f>VLOOKUP(B50,ИСХОДНИК!A:P,13,FALSE())</f>
        <v>588000</v>
      </c>
      <c r="L50" s="139">
        <f>VLOOKUP(B50,ИСХОДНИК!A:P,14,FALSE())</f>
        <v>682080</v>
      </c>
      <c r="M50" s="198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1:13" ht="22.5" customHeight="1">
      <c r="B51" s="97" t="s">
        <v>192</v>
      </c>
      <c r="C51" s="196" t="str">
        <f>VLOOKUP(B51,ИСХОДНИК!A:P,5,FALSE())</f>
        <v>SVA 150 G ANG PN 52</v>
      </c>
      <c r="D51" s="105" t="str">
        <f>VLOOKUP(B51,ИСХОДНИК!A:P,6,FALSE())</f>
        <v>Угловой</v>
      </c>
      <c r="E51" s="197" t="str">
        <f>VLOOKUP(B51,ИСХОДНИК!A:P,11,FALSE())</f>
        <v>Под сварку встык GOST</v>
      </c>
      <c r="F51" s="182">
        <f>VLOOKUP(B51,ИСХОДНИК!A:P,7,FALSE())</f>
        <v>150</v>
      </c>
      <c r="G51" s="137" t="str">
        <f>VLOOKUP(B51,ИСХОДНИК!A:P,10,FALSE())</f>
        <v>R717, R744 и фреоны</v>
      </c>
      <c r="H51" s="181">
        <f>VLOOKUP(B51,ИСХОДНИК!A:P,8,FALSE())</f>
        <v>52</v>
      </c>
      <c r="I51" s="137" t="str">
        <f>VLOOKUP(B51,ИСХОДНИК!A:P,9,FALSE())</f>
        <v xml:space="preserve"> -60…120</v>
      </c>
      <c r="J51" s="105" t="str">
        <f>VLOOKUP(B51,ИСХОДНИК!A:P,15,FALSE())</f>
        <v>U6 PL40R</v>
      </c>
      <c r="K51" s="139">
        <f>VLOOKUP(B51,ИСХОДНИК!A:P,13,FALSE())</f>
        <v>588000</v>
      </c>
      <c r="L51" s="139">
        <f>VLOOKUP(B51,ИСХОДНИК!A:P,14,FALSE())</f>
        <v>682080</v>
      </c>
      <c r="M51" s="198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1:13" ht="22.5" customHeight="1">
      <c r="B52" s="97" t="s">
        <v>193</v>
      </c>
      <c r="C52" s="196" t="str">
        <f>VLOOKUP(B52,ИСХОДНИК!A:P,5,FALSE())</f>
        <v>SVA 150 D ANG PN 40</v>
      </c>
      <c r="D52" s="105" t="str">
        <f>VLOOKUP(B52,ИСХОДНИК!A:P,6,FALSE())</f>
        <v>Угловой</v>
      </c>
      <c r="E52" s="197" t="str">
        <f>VLOOKUP(B52,ИСХОДНИК!A:P,11,FALSE())</f>
        <v>Под сварку встык DIN</v>
      </c>
      <c r="F52" s="182">
        <f>VLOOKUP(B52,ИСХОДНИК!A:P,7,FALSE())</f>
        <v>150</v>
      </c>
      <c r="G52" s="137" t="str">
        <f>VLOOKUP(B52,ИСХОДНИК!A:P,10,FALSE())</f>
        <v>R717, R744 и фреоны</v>
      </c>
      <c r="H52" s="181">
        <f>VLOOKUP(B52,ИСХОДНИК!A:P,8,FALSE())</f>
        <v>40</v>
      </c>
      <c r="I52" s="137" t="str">
        <f>VLOOKUP(B52,ИСХОДНИК!A:P,9,FALSE())</f>
        <v xml:space="preserve"> -60…120</v>
      </c>
      <c r="J52" s="105" t="str">
        <f>VLOOKUP(B52,ИСХОДНИК!A:P,15,FALSE())</f>
        <v>U6 PL40R</v>
      </c>
      <c r="K52" s="139">
        <f>VLOOKUP(B52,ИСХОДНИК!A:P,13,FALSE())</f>
        <v>492000</v>
      </c>
      <c r="L52" s="139">
        <f>VLOOKUP(B52,ИСХОДНИК!A:P,14,FALSE())</f>
        <v>570720</v>
      </c>
      <c r="M52" s="198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3" spans="1:13" ht="22.5" customHeight="1">
      <c r="B53" s="97" t="s">
        <v>194</v>
      </c>
      <c r="C53" s="196" t="str">
        <f>VLOOKUP(B53,ИСХОДНИК!A:P,5,FALSE())</f>
        <v>SVA 150 G ANG PN 40</v>
      </c>
      <c r="D53" s="105" t="str">
        <f>VLOOKUP(B53,ИСХОДНИК!A:P,6,FALSE())</f>
        <v>Угловой</v>
      </c>
      <c r="E53" s="197" t="str">
        <f>VLOOKUP(B53,ИСХОДНИК!A:P,11,FALSE())</f>
        <v>Под сварку встык GOST</v>
      </c>
      <c r="F53" s="182">
        <f>VLOOKUP(B53,ИСХОДНИК!A:P,7,FALSE())</f>
        <v>150</v>
      </c>
      <c r="G53" s="137" t="str">
        <f>VLOOKUP(B53,ИСХОДНИК!A:P,10,FALSE())</f>
        <v>R717, R744 и фреоны</v>
      </c>
      <c r="H53" s="181">
        <f>VLOOKUP(B53,ИСХОДНИК!A:P,8,FALSE())</f>
        <v>40</v>
      </c>
      <c r="I53" s="137" t="str">
        <f>VLOOKUP(B53,ИСХОДНИК!A:P,9,FALSE())</f>
        <v xml:space="preserve"> -60…120</v>
      </c>
      <c r="J53" s="105" t="str">
        <f>VLOOKUP(B53,ИСХОДНИК!A:P,15,FALSE())</f>
        <v>U6 PL40R</v>
      </c>
      <c r="K53" s="139">
        <f>VLOOKUP(B53,ИСХОДНИК!A:P,13,FALSE())</f>
        <v>492000</v>
      </c>
      <c r="L53" s="139">
        <f>VLOOKUP(B53,ИСХОДНИК!A:P,14,FALSE())</f>
        <v>570720</v>
      </c>
      <c r="M53" s="198" t="str">
        <f>IF(VLOOKUP(B53,ИСХОДНИК!A:R,18,FALSE())=1,ИСХОДНИК!$T$2,IF(VLOOKUP(B53,ИСХОДНИК!A:R,18,FALSE())=2,ИСХОДНИК!$T$5,IF(VLOOKUP(B53,ИСХОДНИК!A:R,18,FALSE())=3,ИСХОДНИК!$T$6)))</f>
        <v>○</v>
      </c>
    </row>
    <row r="54" spans="1:13" ht="22.5" customHeight="1">
      <c r="B54" s="97" t="s">
        <v>195</v>
      </c>
      <c r="C54" s="196" t="str">
        <f>VLOOKUP(B54,ИСХОДНИК!A:P,5,FALSE())</f>
        <v>SVA 200 D ANG PN 40</v>
      </c>
      <c r="D54" s="105" t="str">
        <f>VLOOKUP(B54,ИСХОДНИК!A:P,6,FALSE())</f>
        <v>Угловой</v>
      </c>
      <c r="E54" s="197" t="str">
        <f>VLOOKUP(B54,ИСХОДНИК!A:P,11,FALSE())</f>
        <v>Под сварку встык DIN</v>
      </c>
      <c r="F54" s="182">
        <f>VLOOKUP(B54,ИСХОДНИК!A:P,7,FALSE())</f>
        <v>200</v>
      </c>
      <c r="G54" s="137" t="str">
        <f>VLOOKUP(B54,ИСХОДНИК!A:P,10,FALSE())</f>
        <v>R717, R744 и фреоны</v>
      </c>
      <c r="H54" s="181">
        <f>VLOOKUP(B54,ИСХОДНИК!A:P,8,FALSE())</f>
        <v>40</v>
      </c>
      <c r="I54" s="137" t="str">
        <f>VLOOKUP(B54,ИСХОДНИК!A:P,9,FALSE())</f>
        <v xml:space="preserve"> -60…120</v>
      </c>
      <c r="J54" s="105" t="str">
        <f>VLOOKUP(B54,ИСХОДНИК!A:P,15,FALSE())</f>
        <v>U6 PL40R</v>
      </c>
      <c r="K54" s="139">
        <f>VLOOKUP(B54,ИСХОДНИК!A:P,13,FALSE())</f>
        <v>912000</v>
      </c>
      <c r="L54" s="139">
        <f>VLOOKUP(B54,ИСХОДНИК!A:P,14,FALSE())</f>
        <v>1057920</v>
      </c>
      <c r="M54" s="199" t="str">
        <f>IF(VLOOKUP(B54,ИСХОДНИК!A:R,18,FALSE())=1,ИСХОДНИК!$T$2,IF(VLOOKUP(B54,ИСХОДНИК!A:R,18,FALSE())=2,ИСХОДНИК!$T$5,IF(VLOOKUP(B54,ИСХОДНИК!A:R,18,FALSE())=3,ИСХОДНИК!$T$6)))</f>
        <v>◑</v>
      </c>
    </row>
    <row r="55" spans="1:13" ht="22.5" customHeight="1">
      <c r="B55" s="97" t="s">
        <v>196</v>
      </c>
      <c r="C55" s="196" t="str">
        <f>VLOOKUP(B55,ИСХОДНИК!A:P,5,FALSE())</f>
        <v>SVA 250 D ANG PN 40</v>
      </c>
      <c r="D55" s="105" t="str">
        <f>VLOOKUP(B55,ИСХОДНИК!A:P,6,FALSE())</f>
        <v>Угловой</v>
      </c>
      <c r="E55" s="197" t="str">
        <f>VLOOKUP(B55,ИСХОДНИК!A:P,11,FALSE())</f>
        <v>Под сварку встык DIN</v>
      </c>
      <c r="F55" s="182">
        <f>VLOOKUP(B55,ИСХОДНИК!A:P,7,FALSE())</f>
        <v>250</v>
      </c>
      <c r="G55" s="137" t="str">
        <f>VLOOKUP(B55,ИСХОДНИК!A:P,10,FALSE())</f>
        <v>R717, R744 и фреоны</v>
      </c>
      <c r="H55" s="181">
        <f>VLOOKUP(B55,ИСХОДНИК!A:P,8,FALSE())</f>
        <v>40</v>
      </c>
      <c r="I55" s="137" t="str">
        <f>VLOOKUP(B55,ИСХОДНИК!A:P,9,FALSE())</f>
        <v xml:space="preserve"> -60…120</v>
      </c>
      <c r="J55" s="105" t="str">
        <f>VLOOKUP(B55,ИСХОДНИК!A:P,15,FALSE())</f>
        <v>PR PL40R-Project</v>
      </c>
      <c r="K55" s="139">
        <f>VLOOKUP(B55,ИСХОДНИК!A:P,13,FALSE())</f>
        <v>1542000</v>
      </c>
      <c r="L55" s="139">
        <f>VLOOKUP(B55,ИСХОДНИК!A:P,14,FALSE())</f>
        <v>1788719.9999999998</v>
      </c>
      <c r="M55" s="199" t="str">
        <f>IF(VLOOKUP(B55,ИСХОДНИК!A:R,18,FALSE())=1,ИСХОДНИК!$T$2,IF(VLOOKUP(B55,ИСХОДНИК!A:R,18,FALSE())=2,ИСХОДНИК!$T$5,IF(VLOOKUP(B55,ИСХОДНИК!A:R,18,FALSE())=3,ИСХОДНИК!$T$6)))</f>
        <v>◑</v>
      </c>
    </row>
    <row r="56" spans="1:13" ht="23.25" customHeight="1">
      <c r="B56" s="97" t="s">
        <v>197</v>
      </c>
      <c r="C56" s="196" t="str">
        <f>VLOOKUP(B56,ИСХОДНИК!A:P,5,FALSE())</f>
        <v>SVA 300 D ANG PN 40</v>
      </c>
      <c r="D56" s="105" t="str">
        <f>VLOOKUP(B56,ИСХОДНИК!A:P,6,FALSE())</f>
        <v>Угловой</v>
      </c>
      <c r="E56" s="197" t="str">
        <f>VLOOKUP(B56,ИСХОДНИК!A:P,11,FALSE())</f>
        <v>Под сварку встык DIN</v>
      </c>
      <c r="F56" s="182">
        <f>VLOOKUP(B56,ИСХОДНИК!A:P,7,FALSE())</f>
        <v>300</v>
      </c>
      <c r="G56" s="137" t="str">
        <f>VLOOKUP(B56,ИСХОДНИК!A:P,10,FALSE())</f>
        <v>R717, R744 и фреоны</v>
      </c>
      <c r="H56" s="181">
        <f>VLOOKUP(B56,ИСХОДНИК!A:P,8,FALSE())</f>
        <v>40</v>
      </c>
      <c r="I56" s="137" t="str">
        <f>VLOOKUP(B56,ИСХОДНИК!A:P,9,FALSE())</f>
        <v xml:space="preserve"> -60…120</v>
      </c>
      <c r="J56" s="105" t="str">
        <f>VLOOKUP(B56,ИСХОДНИК!A:P,15,FALSE())</f>
        <v>PR PL40R-Project</v>
      </c>
      <c r="K56" s="139">
        <f>VLOOKUP(B56,ИСХОДНИК!A:P,13,FALSE())</f>
        <v>2430000</v>
      </c>
      <c r="L56" s="139">
        <f>VLOOKUP(B56,ИСХОДНИК!A:P,14,FALSE())</f>
        <v>2818800</v>
      </c>
      <c r="M56" s="198" t="str">
        <f>IF(VLOOKUP(B56,ИСХОДНИК!A:R,18,FALSE())=1,ИСХОДНИК!$T$2,IF(VLOOKUP(B56,ИСХОДНИК!A:R,18,FALSE())=2,ИСХОДНИК!$T$5,IF(VLOOKUP(B56,ИСХОДНИК!A:R,18,FALSE())=3,ИСХОДНИК!$T$6)))</f>
        <v>○</v>
      </c>
    </row>
    <row r="57" spans="1:13" ht="22.5" customHeight="1">
      <c r="B57" s="97" t="s">
        <v>198</v>
      </c>
      <c r="C57" s="196" t="str">
        <f>VLOOKUP(B57,ИСХОДНИК!A:P,5,FALSE())</f>
        <v>SVA 350 D ANG PN 40</v>
      </c>
      <c r="D57" s="105" t="str">
        <f>VLOOKUP(B57,ИСХОДНИК!A:P,6,FALSE())</f>
        <v>Угловой</v>
      </c>
      <c r="E57" s="197" t="str">
        <f>VLOOKUP(B57,ИСХОДНИК!A:P,11,FALSE())</f>
        <v>Под сварку встык DIN</v>
      </c>
      <c r="F57" s="182">
        <f>VLOOKUP(B57,ИСХОДНИК!A:P,7,FALSE())</f>
        <v>350</v>
      </c>
      <c r="G57" s="137" t="str">
        <f>VLOOKUP(B57,ИСХОДНИК!A:P,10,FALSE())</f>
        <v>R717, R744 и фреоны</v>
      </c>
      <c r="H57" s="181">
        <f>VLOOKUP(B57,ИСХОДНИК!A:P,8,FALSE())</f>
        <v>40</v>
      </c>
      <c r="I57" s="137" t="str">
        <f>VLOOKUP(B57,ИСХОДНИК!A:P,9,FALSE())</f>
        <v xml:space="preserve"> -60…120</v>
      </c>
      <c r="J57" s="105" t="str">
        <f>VLOOKUP(B57,ИСХОДНИК!A:P,15,FALSE())</f>
        <v>PR PL40R-Project</v>
      </c>
      <c r="K57" s="139">
        <f>VLOOKUP(B57,ИСХОДНИК!A:P,13,FALSE())</f>
        <v>3900000</v>
      </c>
      <c r="L57" s="139">
        <f>VLOOKUP(B57,ИСХОДНИК!A:P,14,FALSE())</f>
        <v>4524000</v>
      </c>
      <c r="M57" s="198" t="str">
        <f>IF(VLOOKUP(B57,ИСХОДНИК!A:R,18,FALSE())=1,ИСХОДНИК!$T$2,IF(VLOOKUP(B57,ИСХОДНИК!A:R,18,FALSE())=2,ИСХОДНИК!$T$5,IF(VLOOKUP(B57,ИСХОДНИК!A:R,18,FALSE())=3,ИСХОДНИК!$T$6)))</f>
        <v>○</v>
      </c>
    </row>
    <row r="59" spans="1:13" ht="18" customHeight="1">
      <c r="B59" s="505" t="s">
        <v>199</v>
      </c>
      <c r="C59" s="505"/>
      <c r="D59" s="505"/>
      <c r="E59" s="505"/>
      <c r="F59" s="505"/>
      <c r="G59" s="505"/>
      <c r="H59" s="505"/>
      <c r="I59" s="505"/>
      <c r="J59" s="505"/>
      <c r="K59" s="505"/>
      <c r="L59" s="505"/>
      <c r="M59" s="505"/>
    </row>
    <row r="60" spans="1:13" ht="13.5">
      <c r="A60" s="28"/>
      <c r="B60" s="506"/>
      <c r="C60" s="506"/>
      <c r="D60" s="201"/>
      <c r="E60" s="202"/>
      <c r="F60" s="203"/>
      <c r="G60" s="203"/>
      <c r="H60" s="203"/>
      <c r="I60" s="201"/>
      <c r="J60" s="202"/>
      <c r="K60" s="203"/>
      <c r="L60" s="203"/>
      <c r="M60" s="202"/>
    </row>
    <row r="61" spans="1:13" ht="13.5">
      <c r="B61" s="506"/>
      <c r="C61" s="506"/>
      <c r="D61" s="204"/>
      <c r="E61" s="121"/>
      <c r="F61" s="28"/>
      <c r="G61" s="28"/>
      <c r="H61" s="28"/>
      <c r="I61" s="204"/>
      <c r="J61" s="121"/>
      <c r="K61" s="28"/>
      <c r="L61" s="28"/>
      <c r="M61" s="121"/>
    </row>
    <row r="62" spans="1:13" ht="13.5">
      <c r="B62" s="506"/>
      <c r="C62" s="506"/>
      <c r="D62" s="204"/>
      <c r="E62" s="121"/>
      <c r="F62" s="28"/>
      <c r="G62" s="28"/>
      <c r="H62" s="28"/>
      <c r="I62" s="204"/>
      <c r="J62" s="121"/>
      <c r="K62" s="28"/>
      <c r="L62" s="28"/>
      <c r="M62" s="121"/>
    </row>
    <row r="63" spans="1:13" ht="13.5">
      <c r="B63" s="506"/>
      <c r="C63" s="506"/>
      <c r="D63" s="204"/>
      <c r="E63" s="121"/>
      <c r="F63" s="28"/>
      <c r="G63" s="28"/>
      <c r="H63" s="28"/>
      <c r="I63" s="204"/>
      <c r="J63" s="121"/>
      <c r="K63" s="28"/>
      <c r="L63" s="28"/>
      <c r="M63" s="121"/>
    </row>
    <row r="64" spans="1:13" ht="13.5">
      <c r="B64" s="506"/>
      <c r="C64" s="506"/>
      <c r="D64" s="204"/>
      <c r="E64" s="121"/>
      <c r="F64" s="28"/>
      <c r="G64" s="28"/>
      <c r="H64" s="28"/>
      <c r="I64" s="204"/>
      <c r="J64" s="121"/>
      <c r="K64" s="28"/>
      <c r="L64" s="28"/>
      <c r="M64" s="121"/>
    </row>
    <row r="65" spans="2:13" ht="13.5">
      <c r="B65" s="506"/>
      <c r="C65" s="506"/>
      <c r="D65" s="204"/>
      <c r="E65" s="121"/>
      <c r="F65" s="28"/>
      <c r="G65" s="28"/>
      <c r="H65" s="28"/>
      <c r="I65" s="204"/>
      <c r="J65" s="121"/>
      <c r="K65" s="28"/>
      <c r="L65" s="28"/>
      <c r="M65" s="121"/>
    </row>
    <row r="66" spans="2:13" ht="13.5">
      <c r="B66" s="506"/>
      <c r="C66" s="506"/>
      <c r="D66" s="204"/>
      <c r="E66" s="121"/>
      <c r="F66" s="28"/>
      <c r="G66" s="28"/>
      <c r="H66" s="28"/>
      <c r="I66" s="204"/>
      <c r="J66" s="121"/>
      <c r="K66" s="28"/>
      <c r="L66" s="28"/>
      <c r="M66" s="121"/>
    </row>
    <row r="67" spans="2:13" ht="13.5">
      <c r="B67" s="506"/>
      <c r="C67" s="506"/>
      <c r="D67" s="204"/>
      <c r="E67" s="121"/>
      <c r="F67" s="28"/>
      <c r="G67" s="28"/>
      <c r="H67" s="28"/>
      <c r="I67" s="204"/>
      <c r="J67" s="121"/>
      <c r="K67" s="28"/>
      <c r="L67" s="28"/>
      <c r="M67" s="121"/>
    </row>
    <row r="68" spans="2:13" ht="13.5">
      <c r="B68" s="506"/>
      <c r="C68" s="506"/>
      <c r="D68" s="204"/>
      <c r="E68" s="121"/>
      <c r="F68" s="28"/>
      <c r="G68" s="28"/>
      <c r="H68" s="28"/>
      <c r="I68" s="204"/>
      <c r="J68" s="121"/>
      <c r="K68" s="28"/>
      <c r="L68" s="28"/>
      <c r="M68" s="121"/>
    </row>
    <row r="69" spans="2:13" ht="13.5">
      <c r="B69" s="506"/>
      <c r="C69" s="506"/>
      <c r="D69" s="204"/>
      <c r="E69" s="121"/>
      <c r="F69" s="28"/>
      <c r="G69" s="28"/>
      <c r="H69" s="28"/>
      <c r="I69" s="204"/>
      <c r="J69" s="121"/>
      <c r="K69" s="28"/>
      <c r="L69" s="28"/>
      <c r="M69" s="121"/>
    </row>
    <row r="70" spans="2:13" ht="13.5">
      <c r="B70" s="506"/>
      <c r="C70" s="506"/>
      <c r="D70" s="204"/>
      <c r="E70" s="121"/>
      <c r="F70" s="28"/>
      <c r="G70" s="28"/>
      <c r="H70" s="28"/>
      <c r="I70" s="204"/>
      <c r="J70" s="121"/>
      <c r="K70" s="28"/>
      <c r="L70" s="28"/>
      <c r="M70" s="121"/>
    </row>
    <row r="71" spans="2:13" ht="13.5">
      <c r="B71" s="506"/>
      <c r="C71" s="506"/>
      <c r="D71" s="204"/>
      <c r="E71" s="121"/>
      <c r="F71" s="28"/>
      <c r="G71" s="28"/>
      <c r="H71" s="28"/>
      <c r="I71" s="204"/>
      <c r="J71" s="121"/>
      <c r="K71" s="28"/>
      <c r="L71" s="28"/>
      <c r="M71" s="121"/>
    </row>
    <row r="72" spans="2:13" ht="13.5">
      <c r="B72" s="506"/>
      <c r="C72" s="506"/>
      <c r="D72" s="204"/>
      <c r="E72" s="121"/>
      <c r="F72" s="28"/>
      <c r="G72" s="28"/>
      <c r="H72" s="28"/>
      <c r="I72" s="204"/>
      <c r="J72" s="121"/>
      <c r="K72" s="28"/>
      <c r="L72" s="28"/>
      <c r="M72" s="121"/>
    </row>
    <row r="73" spans="2:13" ht="13.5">
      <c r="B73" s="506"/>
      <c r="C73" s="506"/>
      <c r="D73" s="205"/>
      <c r="E73" s="206"/>
      <c r="F73" s="207"/>
      <c r="G73" s="207"/>
      <c r="H73" s="207"/>
      <c r="I73" s="205"/>
      <c r="J73" s="206"/>
      <c r="K73" s="207"/>
      <c r="L73" s="207"/>
      <c r="M73" s="206"/>
    </row>
    <row r="74" spans="2:13" ht="35" customHeight="1">
      <c r="B74" s="95" t="s">
        <v>200</v>
      </c>
      <c r="C74" s="494" t="s">
        <v>2</v>
      </c>
      <c r="D74" s="494"/>
      <c r="E74" s="494"/>
      <c r="F74" s="494"/>
      <c r="G74" s="494"/>
      <c r="H74" s="494"/>
      <c r="I74" s="208" t="s">
        <v>201</v>
      </c>
      <c r="J74" s="95" t="s">
        <v>67</v>
      </c>
      <c r="K74" s="95" t="s">
        <v>74</v>
      </c>
      <c r="L74" s="95" t="s">
        <v>75</v>
      </c>
      <c r="M74" s="209" t="s">
        <v>55</v>
      </c>
    </row>
    <row r="75" spans="2:13" ht="21" customHeight="1">
      <c r="B75" s="97" t="s">
        <v>202</v>
      </c>
      <c r="C75" s="495" t="str">
        <f>VLOOKUP(B75,ИСХОДНИК!A:P,3,FALSE())</f>
        <v>Универсальная прокладка DN 15-25. Мультипак 10 шт.</v>
      </c>
      <c r="D75" s="495"/>
      <c r="E75" s="495"/>
      <c r="F75" s="495"/>
      <c r="G75" s="495"/>
      <c r="H75" s="495"/>
      <c r="I75" s="105">
        <v>7</v>
      </c>
      <c r="J75" s="105" t="str">
        <f>VLOOKUP(B75,ИСХОДНИК!A:P,15,FALSE())</f>
        <v>U6 PL40R</v>
      </c>
      <c r="K75" s="210">
        <f>VLOOKUP(B75,ИСХОДНИК!A:P,13,FALSE())</f>
        <v>7200</v>
      </c>
      <c r="L75" s="210">
        <f>VLOOKUP(B75,ИСХОДНИК!A:P,14,FALSE())</f>
        <v>8352</v>
      </c>
      <c r="M75" s="104" t="str">
        <f>IF(VLOOKUP(B75,ИСХОДНИК!A:R,18,FALSE())=1,ИСХОДНИК!$T$2,IF(VLOOKUP(B75,ИСХОДНИК!A:R,18,FALSE())=2,ИСХОДНИК!$T$5,IF(VLOOKUP(B57,ИСХОДНИК!A:R,18,FALSE())=3,ИСХОДНИК!$T$6)))</f>
        <v>◑</v>
      </c>
    </row>
    <row r="76" spans="2:13" ht="21" customHeight="1">
      <c r="B76" s="97" t="s">
        <v>203</v>
      </c>
      <c r="C76" s="495" t="str">
        <f>VLOOKUP(B76,ИСХОДНИК!A:P,3,FALSE())</f>
        <v>Универсальная прокладка DN 32-40. Мультипак 10 шт.</v>
      </c>
      <c r="D76" s="495"/>
      <c r="E76" s="495"/>
      <c r="F76" s="495"/>
      <c r="G76" s="495"/>
      <c r="H76" s="495"/>
      <c r="I76" s="105">
        <v>7</v>
      </c>
      <c r="J76" s="105" t="str">
        <f>VLOOKUP(B76,ИСХОДНИК!A:P,15,FALSE())</f>
        <v>U6 PL40R</v>
      </c>
      <c r="K76" s="210">
        <f>VLOOKUP(B76,ИСХОДНИК!A:P,13,FALSE())</f>
        <v>9000</v>
      </c>
      <c r="L76" s="210">
        <f>VLOOKUP(B76,ИСХОДНИК!A:P,14,FALSE())</f>
        <v>10440</v>
      </c>
      <c r="M76" s="104" t="str">
        <f>IF(VLOOKUP(B76,ИСХОДНИК!A:R,18,FALSE())=1,ИСХОДНИК!$T$2,IF(VLOOKUP(B76,ИСХОДНИК!A:R,18,FALSE())=2,ИСХОДНИК!$T$5,IF(VLOOKUP(B58,ИСХОДНИК!A:R,18,FALSE())=3,ИСХОДНИК!$T$6)))</f>
        <v>◑</v>
      </c>
    </row>
    <row r="77" spans="2:13" ht="21" customHeight="1">
      <c r="B77" s="97" t="s">
        <v>204</v>
      </c>
      <c r="C77" s="495" t="str">
        <f>VLOOKUP(B77,ИСХОДНИК!A:P,3,FALSE())</f>
        <v>Универсальная прокладка DN 50. Мультипак 10 шт.</v>
      </c>
      <c r="D77" s="495"/>
      <c r="E77" s="495"/>
      <c r="F77" s="495"/>
      <c r="G77" s="495"/>
      <c r="H77" s="495"/>
      <c r="I77" s="105">
        <v>7</v>
      </c>
      <c r="J77" s="105" t="str">
        <f>VLOOKUP(B77,ИСХОДНИК!A:P,15,FALSE())</f>
        <v>U6 PL40R</v>
      </c>
      <c r="K77" s="210">
        <f>VLOOKUP(B77,ИСХОДНИК!A:P,13,FALSE())</f>
        <v>14400</v>
      </c>
      <c r="L77" s="210">
        <f>VLOOKUP(B77,ИСХОДНИК!A:P,14,FALSE())</f>
        <v>16704</v>
      </c>
      <c r="M77" s="104" t="str">
        <f>IF(VLOOKUP(B77,ИСХОДНИК!A:R,18,FALSE())=1,ИСХОДНИК!$T$2,IF(VLOOKUP(B77,ИСХОДНИК!A:R,18,FALSE())=2,ИСХОДНИК!$T$5,IF(VLOOKUP(B59,ИСХОДНИК!A:R,18,FALSE())=3,ИСХОДНИК!$T$6)))</f>
        <v>◑</v>
      </c>
    </row>
    <row r="78" spans="2:13" ht="21" customHeight="1">
      <c r="B78" s="97" t="s">
        <v>205</v>
      </c>
      <c r="C78" s="495" t="str">
        <f>VLOOKUP(B78,ИСХОДНИК!A:P,3,FALSE())</f>
        <v>Универсальная прокладка DN 65. Мультипак 10 шт.</v>
      </c>
      <c r="D78" s="495"/>
      <c r="E78" s="495"/>
      <c r="F78" s="495"/>
      <c r="G78" s="495"/>
      <c r="H78" s="495"/>
      <c r="I78" s="105">
        <v>7</v>
      </c>
      <c r="J78" s="105" t="str">
        <f>VLOOKUP(B78,ИСХОДНИК!A:P,15,FALSE())</f>
        <v>U6 PL40R</v>
      </c>
      <c r="K78" s="210">
        <f>VLOOKUP(B78,ИСХОДНИК!A:P,13,FALSE())</f>
        <v>18000</v>
      </c>
      <c r="L78" s="210">
        <f>VLOOKUP(B78,ИСХОДНИК!A:P,14,FALSE())</f>
        <v>20880</v>
      </c>
      <c r="M78" s="104" t="str">
        <f>IF(VLOOKUP(B78,ИСХОДНИК!A:R,18,FALSE())=1,ИСХОДНИК!$T$2,IF(VLOOKUP(B78,ИСХОДНИК!A:R,18,FALSE())=2,ИСХОДНИК!$T$5,IF(VLOOKUP(B60,ИСХОДНИК!A:R,18,FALSE())=3,ИСХОДНИК!$T$6)))</f>
        <v>◑</v>
      </c>
    </row>
    <row r="79" spans="2:13" ht="21" customHeight="1">
      <c r="B79" s="97" t="s">
        <v>206</v>
      </c>
      <c r="C79" s="495" t="str">
        <f>VLOOKUP(B79,ИСХОДНИК!A:P,3,FALSE())</f>
        <v>Универсальная прокладка DN 80. Мультипак 10 шт.</v>
      </c>
      <c r="D79" s="495"/>
      <c r="E79" s="495"/>
      <c r="F79" s="495"/>
      <c r="G79" s="495"/>
      <c r="H79" s="495"/>
      <c r="I79" s="105">
        <v>7</v>
      </c>
      <c r="J79" s="105" t="str">
        <f>VLOOKUP(B79,ИСХОДНИК!A:P,15,FALSE())</f>
        <v>U6 PL40R</v>
      </c>
      <c r="K79" s="210">
        <f>VLOOKUP(B79,ИСХОДНИК!A:P,13,FALSE())</f>
        <v>27000</v>
      </c>
      <c r="L79" s="210">
        <f>VLOOKUP(B79,ИСХОДНИК!A:P,14,FALSE())</f>
        <v>31319.999999999996</v>
      </c>
      <c r="M79" s="104" t="str">
        <f>IF(VLOOKUP(B79,ИСХОДНИК!A:R,18,FALSE())=1,ИСХОДНИК!$T$2,IF(VLOOKUP(B79,ИСХОДНИК!A:R,18,FALSE())=2,ИСХОДНИК!$T$5,IF(VLOOKUP(#REF!,ИСХОДНИК!A:R,18,FALSE())=3,ИСХОДНИК!$T$6)))</f>
        <v>◑</v>
      </c>
    </row>
    <row r="80" spans="2:13" ht="21" customHeight="1">
      <c r="B80" s="97" t="s">
        <v>207</v>
      </c>
      <c r="C80" s="495" t="str">
        <f>VLOOKUP(B80,ИСХОДНИК!A:P,3,FALSE())</f>
        <v>Универсальная прокладка DN 100. Мультипак 10 шт.</v>
      </c>
      <c r="D80" s="495"/>
      <c r="E80" s="495"/>
      <c r="F80" s="495"/>
      <c r="G80" s="495"/>
      <c r="H80" s="495"/>
      <c r="I80" s="105">
        <v>7</v>
      </c>
      <c r="J80" s="105" t="str">
        <f>VLOOKUP(B80,ИСХОДНИК!A:P,15,FALSE())</f>
        <v>U6 PL40R</v>
      </c>
      <c r="K80" s="210">
        <f>VLOOKUP(B80,ИСХОДНИК!A:P,13,FALSE())</f>
        <v>36000</v>
      </c>
      <c r="L80" s="210">
        <f>VLOOKUP(B80,ИСХОДНИК!A:P,14,FALSE())</f>
        <v>41760</v>
      </c>
      <c r="M80" s="104" t="str">
        <f>IF(VLOOKUP(B80,ИСХОДНИК!A:R,18,FALSE())=1,ИСХОДНИК!$T$2,IF(VLOOKUP(B80,ИСХОДНИК!A:R,18,FALSE())=2,ИСХОДНИК!$T$5,IF(VLOOKUP(B61,ИСХОДНИК!A:R,18,FALSE())=3,ИСХОДНИК!$T$6)))</f>
        <v>◑</v>
      </c>
    </row>
    <row r="81" spans="2:13" ht="21" customHeight="1">
      <c r="B81" s="97" t="s">
        <v>208</v>
      </c>
      <c r="C81" s="495" t="str">
        <f>VLOOKUP(B81,ИСХОДНИК!A:P,3,FALSE())</f>
        <v>Универсальная прокладка DN 125. Мультипак 10 шт.</v>
      </c>
      <c r="D81" s="495"/>
      <c r="E81" s="495"/>
      <c r="F81" s="495"/>
      <c r="G81" s="495"/>
      <c r="H81" s="495"/>
      <c r="I81" s="105">
        <v>7</v>
      </c>
      <c r="J81" s="105" t="str">
        <f>VLOOKUP(B81,ИСХОДНИК!A:P,15,FALSE())</f>
        <v>U6 PL40R</v>
      </c>
      <c r="K81" s="210">
        <f>VLOOKUP(B81,ИСХОДНИК!A:P,13,FALSE())</f>
        <v>63000</v>
      </c>
      <c r="L81" s="210">
        <f>VLOOKUP(B81,ИСХОДНИК!A:P,14,FALSE())</f>
        <v>73080</v>
      </c>
      <c r="M81" s="104" t="str">
        <f>IF(VLOOKUP(B81,ИСХОДНИК!A:R,18,FALSE())=1,ИСХОДНИК!$T$2,IF(VLOOKUP(B81,ИСХОДНИК!A:R,18,FALSE())=2,ИСХОДНИК!$T$5,IF(VLOOKUP(B62,ИСХОДНИК!A:R,18,FALSE())=3,ИСХОДНИК!$T$6)))</f>
        <v>◑</v>
      </c>
    </row>
    <row r="82" spans="2:13" ht="21" customHeight="1">
      <c r="B82" s="97" t="s">
        <v>209</v>
      </c>
      <c r="C82" s="495" t="str">
        <f>VLOOKUP(B82,ИСХОДНИК!A:P,3,FALSE())</f>
        <v>Универсальная прокладка DN 150. Мультипак 10 шт.</v>
      </c>
      <c r="D82" s="495"/>
      <c r="E82" s="495"/>
      <c r="F82" s="495"/>
      <c r="G82" s="495"/>
      <c r="H82" s="495"/>
      <c r="I82" s="105">
        <v>7</v>
      </c>
      <c r="J82" s="105" t="str">
        <f>VLOOKUP(B82,ИСХОДНИК!A:P,15,FALSE())</f>
        <v>U6 PL40R</v>
      </c>
      <c r="K82" s="210">
        <f>VLOOKUP(B82,ИСХОДНИК!A:P,13,FALSE())</f>
        <v>95400</v>
      </c>
      <c r="L82" s="210">
        <f>VLOOKUP(B82,ИСХОДНИК!A:P,14,FALSE())</f>
        <v>110663.99999999999</v>
      </c>
      <c r="M82" s="104" t="str">
        <f>IF(VLOOKUP(B82,ИСХОДНИК!A:R,18,FALSE())=1,ИСХОДНИК!$T$2,IF(VLOOKUP(B82,ИСХОДНИК!A:R,18,FALSE())=2,ИСХОДНИК!$T$5,IF(VLOOKUP(B63,ИСХОДНИК!A:R,18,FALSE())=3,ИСХОДНИК!$T$6)))</f>
        <v>◑</v>
      </c>
    </row>
    <row r="83" spans="2:13" ht="21" customHeight="1">
      <c r="B83" s="97" t="s">
        <v>210</v>
      </c>
      <c r="C83" s="495" t="str">
        <f>VLOOKUP(B83,ИСХОДНИК!A:P,3,FALSE())</f>
        <v>Универсальная прокладка DN 200. Мультипак 10 шт.</v>
      </c>
      <c r="D83" s="495"/>
      <c r="E83" s="495"/>
      <c r="F83" s="495"/>
      <c r="G83" s="495"/>
      <c r="H83" s="495"/>
      <c r="I83" s="105">
        <v>7</v>
      </c>
      <c r="J83" s="105" t="str">
        <f>VLOOKUP(B83,ИСХОДНИК!A:P,15,FALSE())</f>
        <v>U6 PL40R</v>
      </c>
      <c r="K83" s="210">
        <f>VLOOKUP(B83,ИСХОДНИК!A:P,13,FALSE())</f>
        <v>141000</v>
      </c>
      <c r="L83" s="210">
        <f>VLOOKUP(B83,ИСХОДНИК!A:P,14,FALSE())</f>
        <v>163560</v>
      </c>
      <c r="M83" s="104" t="str">
        <f>IF(VLOOKUP(B83,ИСХОДНИК!A:R,18,FALSE())=1,ИСХОДНИК!$T$2,IF(VLOOKUP(B83,ИСХОДНИК!A:R,18,FALSE())=2,ИСХОДНИК!$T$5,IF(VLOOKUP(B64,ИСХОДНИК!A:R,18,FALSE())=3,ИСХОДНИК!$T$6)))</f>
        <v>◑</v>
      </c>
    </row>
    <row r="84" spans="2:13" ht="21" customHeight="1">
      <c r="B84" s="97" t="s">
        <v>211</v>
      </c>
      <c r="C84" s="495" t="str">
        <f>VLOOKUP(B84,ИСХОДНИК!A:P,3,FALSE())</f>
        <v>Универсальная прокладка DN 250. Мультипак 10 шт.</v>
      </c>
      <c r="D84" s="495"/>
      <c r="E84" s="495"/>
      <c r="F84" s="495"/>
      <c r="G84" s="495"/>
      <c r="H84" s="495"/>
      <c r="I84" s="105">
        <v>7</v>
      </c>
      <c r="J84" s="105" t="str">
        <f>VLOOKUP(B84,ИСХОДНИК!A:P,15,FALSE())</f>
        <v>U6 PL40R</v>
      </c>
      <c r="K84" s="210">
        <f>VLOOKUP(B84,ИСХОДНИК!A:P,13,FALSE())</f>
        <v>210000</v>
      </c>
      <c r="L84" s="210">
        <f>VLOOKUP(B84,ИСХОДНИК!A:P,14,FALSE())</f>
        <v>243599.99999999997</v>
      </c>
      <c r="M84" s="104" t="str">
        <f>IF(VLOOKUP(B84,ИСХОДНИК!A:R,18,FALSE())=1,ИСХОДНИК!$T$2,IF(VLOOKUP(B84,ИСХОДНИК!A:R,18,FALSE())=2,ИСХОДНИК!$T$5,IF(VLOOKUP(B65,ИСХОДНИК!A:R,18,FALSE())=3,ИСХОДНИК!$T$6)))</f>
        <v>◑</v>
      </c>
    </row>
    <row r="85" spans="2:13" ht="21" customHeight="1">
      <c r="B85" s="97" t="s">
        <v>212</v>
      </c>
      <c r="C85" s="495" t="str">
        <f>VLOOKUP(B85,ИСХОДНИК!A:P,3,FALSE())</f>
        <v>Универсальная прокладка DN 300. Мультипак 10 шт.</v>
      </c>
      <c r="D85" s="495"/>
      <c r="E85" s="495"/>
      <c r="F85" s="495"/>
      <c r="G85" s="495"/>
      <c r="H85" s="495"/>
      <c r="I85" s="105">
        <v>7</v>
      </c>
      <c r="J85" s="105" t="str">
        <f>VLOOKUP(B85,ИСХОДНИК!A:P,15,FALSE())</f>
        <v>U6 PL40R</v>
      </c>
      <c r="K85" s="210">
        <f>VLOOKUP(B85,ИСХОДНИК!A:P,13,FALSE())</f>
        <v>282000</v>
      </c>
      <c r="L85" s="210">
        <f>VLOOKUP(B85,ИСХОДНИК!A:P,14,FALSE())</f>
        <v>327120</v>
      </c>
      <c r="M85" s="104" t="str">
        <f>IF(VLOOKUP(B85,ИСХОДНИК!A:R,18,FALSE())=1,ИСХОДНИК!$T$2,IF(VLOOKUP(B85,ИСХОДНИК!A:R,18,FALSE())=2,ИСХОДНИК!$T$5,IF(VLOOKUP(B66,ИСХОДНИК!A:R,18,FALSE())=3,ИСХОДНИК!$T$6)))</f>
        <v>◑</v>
      </c>
    </row>
    <row r="86" spans="2:13" ht="13.5">
      <c r="B86" s="507"/>
      <c r="C86" s="507"/>
      <c r="D86" s="507"/>
      <c r="E86" s="507"/>
      <c r="F86" s="507"/>
      <c r="G86" s="507"/>
      <c r="H86" s="507"/>
      <c r="I86" s="507"/>
      <c r="J86" s="507"/>
      <c r="K86" s="507"/>
      <c r="L86" s="507"/>
      <c r="M86" s="507"/>
    </row>
    <row r="87" spans="2:13" ht="18" customHeight="1">
      <c r="B87" s="97" t="s">
        <v>213</v>
      </c>
      <c r="C87" s="495" t="str">
        <f>VLOOKUP(B87,ИСХОДНИК!A:P,3,FALSE())</f>
        <v>Комплект сальникового уплотнения DN 15-25.  Мультипак: 10 комплектов.</v>
      </c>
      <c r="D87" s="495"/>
      <c r="E87" s="495"/>
      <c r="F87" s="495"/>
      <c r="G87" s="495"/>
      <c r="H87" s="495"/>
      <c r="I87" s="105" t="s">
        <v>214</v>
      </c>
      <c r="J87" s="105" t="str">
        <f>VLOOKUP(B87,ИСХОДНИК!A:P,15,FALSE())</f>
        <v>U6 PL40R</v>
      </c>
      <c r="K87" s="210">
        <f>VLOOKUP(B87,ИСХОДНИК!A:P,13,FALSE())</f>
        <v>90000</v>
      </c>
      <c r="L87" s="210">
        <f>VLOOKUP(B87,ИСХОДНИК!A:P,14,FALSE())</f>
        <v>104400</v>
      </c>
      <c r="M87" s="104" t="str">
        <f>IF(VLOOKUP(B87,ИСХОДНИК!A:R,18,FALSE())=1,ИСХОДНИК!$T$2,IF(VLOOKUP(B87,ИСХОДНИК!A:R,18,FALSE())=2,ИСХОДНИК!$T$5,IF(VLOOKUP(B66,ИСХОДНИК!A:R,18,FALSE())=3,ИСХОДНИК!$T$6)))</f>
        <v>◑</v>
      </c>
    </row>
    <row r="88" spans="2:13" ht="18" customHeight="1">
      <c r="B88" s="97" t="s">
        <v>215</v>
      </c>
      <c r="C88" s="495" t="str">
        <f>VLOOKUP(B88,ИСХОДНИК!A:P,3,FALSE())</f>
        <v>Комплект сальникового уплотнения DN 32-50. Мультипак: 10 комплектов.</v>
      </c>
      <c r="D88" s="495"/>
      <c r="E88" s="495"/>
      <c r="F88" s="495"/>
      <c r="G88" s="495"/>
      <c r="H88" s="495"/>
      <c r="I88" s="105" t="s">
        <v>214</v>
      </c>
      <c r="J88" s="105" t="str">
        <f>VLOOKUP(B88,ИСХОДНИК!A:P,15,FALSE())</f>
        <v>U6 PL40R</v>
      </c>
      <c r="K88" s="210">
        <f>VLOOKUP(B88,ИСХОДНИК!A:P,13,FALSE())</f>
        <v>153000</v>
      </c>
      <c r="L88" s="210">
        <f>VLOOKUP(B88,ИСХОДНИК!A:P,14,FALSE())</f>
        <v>177480</v>
      </c>
      <c r="M88" s="104" t="str">
        <f>IF(VLOOKUP(B88,ИСХОДНИК!A:R,18,FALSE())=1,ИСХОДНИК!$T$2,IF(VLOOKUP(B88,ИСХОДНИК!A:R,18,FALSE())=2,ИСХОДНИК!$T$5,IF(VLOOKUP(B67,ИСХОДНИК!A:R,18,FALSE())=3,ИСХОДНИК!$T$6)))</f>
        <v>◑</v>
      </c>
    </row>
    <row r="89" spans="2:13" ht="18" customHeight="1">
      <c r="B89" s="97" t="s">
        <v>216</v>
      </c>
      <c r="C89" s="495" t="str">
        <f>VLOOKUP(B89,ИСХОДНИК!A:P,3,FALSE())</f>
        <v>Комплект сальникового уплотнения DN 65. Мультипак: 10 комплектов.</v>
      </c>
      <c r="D89" s="495"/>
      <c r="E89" s="495"/>
      <c r="F89" s="495"/>
      <c r="G89" s="495"/>
      <c r="H89" s="495"/>
      <c r="I89" s="105" t="s">
        <v>214</v>
      </c>
      <c r="J89" s="105" t="str">
        <f>VLOOKUP(B89,ИСХОДНИК!A:P,15,FALSE())</f>
        <v>U6 PL40R</v>
      </c>
      <c r="K89" s="210">
        <f>VLOOKUP(B89,ИСХОДНИК!A:P,13,FALSE())</f>
        <v>299400</v>
      </c>
      <c r="L89" s="210">
        <f>VLOOKUP(B89,ИСХОДНИК!A:P,14,FALSE())</f>
        <v>347304</v>
      </c>
      <c r="M89" s="104" t="str">
        <f>IF(VLOOKUP(B89,ИСХОДНИК!A:R,18,FALSE())=1,ИСХОДНИК!$T$2,IF(VLOOKUP(B89,ИСХОДНИК!A:R,18,FALSE())=2,ИСХОДНИК!$T$5,IF(VLOOKUP(B68,ИСХОДНИК!A:R,18,FALSE())=3,ИСХОДНИК!$T$6)))</f>
        <v>◑</v>
      </c>
    </row>
    <row r="90" spans="2:13" ht="18" customHeight="1">
      <c r="B90" s="97" t="s">
        <v>217</v>
      </c>
      <c r="C90" s="495" t="str">
        <f>VLOOKUP(B90,ИСХОДНИК!A:P,3,FALSE())</f>
        <v>Комплект сальникового уплотнения DN 80.  Мультипак: 10 комплектов.</v>
      </c>
      <c r="D90" s="495"/>
      <c r="E90" s="495"/>
      <c r="F90" s="495"/>
      <c r="G90" s="495"/>
      <c r="H90" s="495"/>
      <c r="I90" s="105" t="s">
        <v>214</v>
      </c>
      <c r="J90" s="105" t="str">
        <f>VLOOKUP(B90,ИСХОДНИК!A:P,15,FALSE())</f>
        <v>U6 PL40R</v>
      </c>
      <c r="K90" s="210">
        <f>VLOOKUP(B90,ИСХОДНИК!A:P,13,FALSE())</f>
        <v>348000</v>
      </c>
      <c r="L90" s="210">
        <f>VLOOKUP(B90,ИСХОДНИК!A:P,14,FALSE())</f>
        <v>403680</v>
      </c>
      <c r="M90" s="104" t="str">
        <f>IF(VLOOKUP(B90,ИСХОДНИК!A:R,18,FALSE())=1,ИСХОДНИК!$T$2,IF(VLOOKUP(B90,ИСХОДНИК!A:R,18,FALSE())=2,ИСХОДНИК!$T$5,IF(VLOOKUP(B69,ИСХОДНИК!A:R,18,FALSE())=3,ИСХОДНИК!$T$6)))</f>
        <v>◑</v>
      </c>
    </row>
    <row r="91" spans="2:13" ht="18" customHeight="1">
      <c r="B91" s="97" t="s">
        <v>218</v>
      </c>
      <c r="C91" s="495" t="str">
        <f>VLOOKUP(B91,ИСХОДНИК!A:P,3,FALSE())</f>
        <v>Комплект сальникового уплотнения DN 100-150.Мультипак: 5 комплектов.</v>
      </c>
      <c r="D91" s="495"/>
      <c r="E91" s="495"/>
      <c r="F91" s="495"/>
      <c r="G91" s="495"/>
      <c r="H91" s="495"/>
      <c r="I91" s="105" t="s">
        <v>214</v>
      </c>
      <c r="J91" s="105" t="str">
        <f>VLOOKUP(B91,ИСХОДНИК!A:P,15,FALSE())</f>
        <v>U6 PL40R</v>
      </c>
      <c r="K91" s="210">
        <f>VLOOKUP(B91,ИСХОДНИК!A:P,13,FALSE())</f>
        <v>288000</v>
      </c>
      <c r="L91" s="210">
        <f>VLOOKUP(B91,ИСХОДНИК!A:P,14,FALSE())</f>
        <v>334080</v>
      </c>
      <c r="M91" s="104" t="str">
        <f>IF(VLOOKUP(B91,ИСХОДНИК!A:R,18,FALSE())=1,ИСХОДНИК!$T$2,IF(VLOOKUP(B91,ИСХОДНИК!A:R,18,FALSE())=2,ИСХОДНИК!$T$5,IF(VLOOKUP(B70,ИСХОДНИК!A:R,18,FALSE())=3,ИСХОДНИК!$T$6)))</f>
        <v>◑</v>
      </c>
    </row>
    <row r="92" spans="2:13" ht="18" customHeight="1">
      <c r="B92" s="97" t="s">
        <v>219</v>
      </c>
      <c r="C92" s="495" t="str">
        <f>VLOOKUP(B92,ИСХОДНИК!A:P,3,FALSE())</f>
        <v xml:space="preserve">Комплект сальникового уплотнения DN 200. </v>
      </c>
      <c r="D92" s="495"/>
      <c r="E92" s="495"/>
      <c r="F92" s="495"/>
      <c r="G92" s="495"/>
      <c r="H92" s="495"/>
      <c r="I92" s="105" t="s">
        <v>214</v>
      </c>
      <c r="J92" s="105" t="str">
        <f>VLOOKUP(B92,ИСХОДНИК!A:P,15,FALSE())</f>
        <v>U6 PL40R</v>
      </c>
      <c r="K92" s="210">
        <f>VLOOKUP(B92,ИСХОДНИК!A:P,13,FALSE())</f>
        <v>210000</v>
      </c>
      <c r="L92" s="210">
        <f>VLOOKUP(B92,ИСХОДНИК!A:P,14,FALSE())</f>
        <v>243599.99999999997</v>
      </c>
      <c r="M92" s="104" t="str">
        <f>IF(VLOOKUP(B92,ИСХОДНИК!A:R,18,FALSE())=1,ИСХОДНИК!$T$2,IF(VLOOKUP(B92,ИСХОДНИК!A:R,18,FALSE())=2,ИСХОДНИК!$T$5,IF(VLOOKUP(B71,ИСХОДНИК!A:R,18,FALSE())=3,ИСХОДНИК!$T$6)))</f>
        <v>◑</v>
      </c>
    </row>
    <row r="93" spans="2:13" ht="13.5">
      <c r="J93" s="105"/>
      <c r="K93" s="211"/>
      <c r="L93" s="211"/>
      <c r="M93" s="105"/>
    </row>
    <row r="94" spans="2:13" ht="15.75" customHeight="1">
      <c r="B94" s="97" t="s">
        <v>220</v>
      </c>
      <c r="C94" s="508" t="str">
        <f>VLOOKUP(B94,ИСХОДНИК!A:P,3,FALSE())</f>
        <v>Ремонтный комплект для SVA 15-25. Мультипак 5 комплектов</v>
      </c>
      <c r="D94" s="508"/>
      <c r="E94" s="508"/>
      <c r="F94" s="508"/>
      <c r="G94" s="508"/>
      <c r="H94" s="508"/>
      <c r="I94" s="105" t="s">
        <v>221</v>
      </c>
      <c r="J94" s="105" t="str">
        <f>VLOOKUP(B94,ИСХОДНИК!A:P,15,FALSE())</f>
        <v>U6 PL40R</v>
      </c>
      <c r="K94" s="210">
        <f>VLOOKUP(B94,ИСХОДНИК!A:P,13,FALSE())</f>
        <v>39000</v>
      </c>
      <c r="L94" s="210">
        <f>VLOOKUP(B94,ИСХОДНИК!A:P,14,FALSE())</f>
        <v>45240</v>
      </c>
      <c r="M94" s="104" t="str">
        <f>IF(VLOOKUP(B94,ИСХОДНИК!A:R,18,FALSE())=1,ИСХОДНИК!$T$2,IF(VLOOKUP(B94,ИСХОДНИК!A:R,18,FALSE())=2,ИСХОДНИК!$T$5,IF(VLOOKUP(B73,ИСХОДНИК!A:R,18,FALSE())=3,ИСХОДНИК!$T$6)))</f>
        <v>◑</v>
      </c>
    </row>
    <row r="95" spans="2:13" ht="15.75" customHeight="1">
      <c r="B95" s="97" t="s">
        <v>222</v>
      </c>
      <c r="C95" s="508" t="str">
        <f>VLOOKUP(B95,ИСХОДНИК!A:P,3,FALSE())</f>
        <v>Ремонтный комплект для SVA 32-40. Мультипак 5 комплектов</v>
      </c>
      <c r="D95" s="508"/>
      <c r="E95" s="508"/>
      <c r="F95" s="508"/>
      <c r="G95" s="508"/>
      <c r="H95" s="508"/>
      <c r="I95" s="105" t="s">
        <v>221</v>
      </c>
      <c r="J95" s="105" t="str">
        <f>VLOOKUP(B95,ИСХОДНИК!A:P,15,FALSE())</f>
        <v>U6 PL40R</v>
      </c>
      <c r="K95" s="210">
        <f>VLOOKUP(B95,ИСХОДНИК!A:P,13,FALSE())</f>
        <v>69000</v>
      </c>
      <c r="L95" s="210">
        <f>VLOOKUP(B95,ИСХОДНИК!A:P,14,FALSE())</f>
        <v>80040</v>
      </c>
      <c r="M95" s="140" t="str">
        <f>IF(VLOOKUP(B95,ИСХОДНИК!A:R,18,FALSE())=1,ИСХОДНИК!$T$2,IF(VLOOKUP(B95,ИСХОДНИК!A:R,18,FALSE())=2,ИСХОДНИК!$T$5,IF(VLOOKUP(B53,ИСХОДНИК!A:R,18,FALSE())=3,ИСХОДНИК!$T$6)))</f>
        <v>○</v>
      </c>
    </row>
    <row r="96" spans="2:13" ht="15.75" customHeight="1">
      <c r="B96" s="97" t="s">
        <v>223</v>
      </c>
      <c r="C96" s="508" t="str">
        <f>VLOOKUP(B96,ИСХОДНИК!A:P,3,FALSE())</f>
        <v>Ремонтный комплект для SVA 50</v>
      </c>
      <c r="D96" s="508"/>
      <c r="E96" s="508"/>
      <c r="F96" s="508"/>
      <c r="G96" s="508"/>
      <c r="H96" s="508"/>
      <c r="I96" s="105" t="s">
        <v>221</v>
      </c>
      <c r="J96" s="105" t="str">
        <f>VLOOKUP(B96,ИСХОДНИК!A:P,15,FALSE())</f>
        <v>U6 PL40R</v>
      </c>
      <c r="K96" s="210">
        <f>VLOOKUP(B96,ИСХОДНИК!A:P,13,FALSE())</f>
        <v>22800</v>
      </c>
      <c r="L96" s="210">
        <f>VLOOKUP(B96,ИСХОДНИК!A:P,14,FALSE())</f>
        <v>26447.999999999996</v>
      </c>
      <c r="M96" s="140" t="str">
        <f>IF(VLOOKUP(B96,ИСХОДНИК!A:R,18,FALSE())=1,ИСХОДНИК!$T$2,IF(VLOOKUP(B96,ИСХОДНИК!A:R,18,FALSE())=2,ИСХОДНИК!$T$5,IF(VLOOKUP(B96,ИСХОДНИК!A:R,18,FALSE())=3,ИСХОДНИК!$T$6)))</f>
        <v>○</v>
      </c>
    </row>
    <row r="97" spans="2:13" ht="15.75" customHeight="1">
      <c r="B97" s="97" t="s">
        <v>224</v>
      </c>
      <c r="C97" s="508" t="str">
        <f>VLOOKUP(B97,ИСХОДНИК!A:P,3,FALSE())</f>
        <v>Ремонтный комплект для SVA 65</v>
      </c>
      <c r="D97" s="508"/>
      <c r="E97" s="508"/>
      <c r="F97" s="508"/>
      <c r="G97" s="508"/>
      <c r="H97" s="508"/>
      <c r="I97" s="105" t="s">
        <v>221</v>
      </c>
      <c r="J97" s="105" t="str">
        <f>VLOOKUP(B97,ИСХОДНИК!A:P,15,FALSE())</f>
        <v>U6 PL40R</v>
      </c>
      <c r="K97" s="210">
        <f>VLOOKUP(B97,ИСХОДНИК!A:P,13,FALSE())</f>
        <v>27000</v>
      </c>
      <c r="L97" s="210">
        <f>VLOOKUP(B97,ИСХОДНИК!A:P,14,FALSE())</f>
        <v>31319.999999999996</v>
      </c>
      <c r="M97" s="140" t="str">
        <f>IF(VLOOKUP(B97,ИСХОДНИК!A:R,18,FALSE())=1,ИСХОДНИК!$T$2,IF(VLOOKUP(B97,ИСХОДНИК!A:R,18,FALSE())=2,ИСХОДНИК!$T$5,IF(VLOOKUP(B97,ИСХОДНИК!A:R,18,FALSE())=3,ИСХОДНИК!$T$6)))</f>
        <v>○</v>
      </c>
    </row>
    <row r="98" spans="2:13" ht="15.75" customHeight="1">
      <c r="B98" s="97" t="s">
        <v>225</v>
      </c>
      <c r="C98" s="508" t="str">
        <f>VLOOKUP(B98,ИСХОДНИК!A:P,3,FALSE())</f>
        <v>Ремонтный комплект для SVA 80</v>
      </c>
      <c r="D98" s="508"/>
      <c r="E98" s="508"/>
      <c r="F98" s="508"/>
      <c r="G98" s="508"/>
      <c r="H98" s="508"/>
      <c r="I98" s="105" t="s">
        <v>221</v>
      </c>
      <c r="J98" s="105" t="str">
        <f>VLOOKUP(B98,ИСХОДНИК!A:P,15,FALSE())</f>
        <v>U6 PL40R</v>
      </c>
      <c r="K98" s="210">
        <f>VLOOKUP(B98,ИСХОДНИК!A:P,13,FALSE())</f>
        <v>31200</v>
      </c>
      <c r="L98" s="210">
        <f>VLOOKUP(B98,ИСХОДНИК!A:P,14,FALSE())</f>
        <v>36192</v>
      </c>
      <c r="M98" s="104" t="str">
        <f>IF(VLOOKUP(B98,ИСХОДНИК!A:R,18,FALSE())=1,ИСХОДНИК!$T$2,IF(VLOOKUP(B98,ИСХОДНИК!A:R,18,FALSE())=2,ИСХОДНИК!$T$5,IF(VLOOKUP(B98,ИСХОДНИК!A:R,18,FALSE())=3,ИСХОДНИК!$T$6)))</f>
        <v>◑</v>
      </c>
    </row>
    <row r="99" spans="2:13" ht="15.75" customHeight="1">
      <c r="B99" s="97" t="s">
        <v>226</v>
      </c>
      <c r="C99" s="508" t="str">
        <f>VLOOKUP(B99,ИСХОДНИК!A:P,3,FALSE())</f>
        <v>Ремонтный комплект для SVA 100</v>
      </c>
      <c r="D99" s="508"/>
      <c r="E99" s="508"/>
      <c r="F99" s="508"/>
      <c r="G99" s="508"/>
      <c r="H99" s="508"/>
      <c r="I99" s="105" t="s">
        <v>221</v>
      </c>
      <c r="J99" s="105" t="str">
        <f>VLOOKUP(B99,ИСХОДНИК!A:P,15,FALSE())</f>
        <v>U6 PL40R</v>
      </c>
      <c r="K99" s="210">
        <f>VLOOKUP(B99,ИСХОДНИК!A:P,13,FALSE())</f>
        <v>51000</v>
      </c>
      <c r="L99" s="210">
        <f>VLOOKUP(B99,ИСХОДНИК!A:P,14,FALSE())</f>
        <v>59159.999999999993</v>
      </c>
      <c r="M99" s="140" t="str">
        <f>IF(VLOOKUP(B99,ИСХОДНИК!A:R,18,FALSE())=1,ИСХОДНИК!$T$2,IF(VLOOKUP(B99,ИСХОДНИК!A:R,18,FALSE())=2,ИСХОДНИК!$T$5,IF(VLOOKUP(B99,ИСХОДНИК!A:R,18,FALSE())=3,ИСХОДНИК!$T$6)))</f>
        <v>○</v>
      </c>
    </row>
    <row r="100" spans="2:13" ht="15.75" customHeight="1">
      <c r="B100" s="97" t="s">
        <v>227</v>
      </c>
      <c r="C100" s="508" t="str">
        <f>VLOOKUP(B100,ИСХОДНИК!A:P,3,FALSE())</f>
        <v>Ремонтный комплект для SVA 125</v>
      </c>
      <c r="D100" s="508"/>
      <c r="E100" s="508"/>
      <c r="F100" s="508"/>
      <c r="G100" s="508"/>
      <c r="H100" s="508"/>
      <c r="I100" s="105" t="s">
        <v>221</v>
      </c>
      <c r="J100" s="105" t="str">
        <f>VLOOKUP(B100,ИСХОДНИК!A:P,15,FALSE())</f>
        <v>U6 PL40R</v>
      </c>
      <c r="K100" s="210">
        <f>VLOOKUP(B100,ИСХОДНИК!A:P,13,FALSE())</f>
        <v>81000</v>
      </c>
      <c r="L100" s="210">
        <f>VLOOKUP(B100,ИСХОДНИК!A:P,14,FALSE())</f>
        <v>93960</v>
      </c>
      <c r="M100" s="140" t="str">
        <f>IF(VLOOKUP(B100,ИСХОДНИК!A:R,18,FALSE())=1,ИСХОДНИК!$T$2,IF(VLOOKUP(B100,ИСХОДНИК!A:R,18,FALSE())=2,ИСХОДНИК!$T$5,IF(VLOOKUP(B100,ИСХОДНИК!A:R,18,FALSE())=3,ИСХОДНИК!$T$6)))</f>
        <v>○</v>
      </c>
    </row>
    <row r="101" spans="2:13" ht="15.75" customHeight="1">
      <c r="B101" s="97" t="s">
        <v>228</v>
      </c>
      <c r="C101" s="508" t="str">
        <f>VLOOKUP(B101,ИСХОДНИК!A:P,3,FALSE())</f>
        <v>Ремонтный комплект для SVA 150</v>
      </c>
      <c r="D101" s="508"/>
      <c r="E101" s="508"/>
      <c r="F101" s="508"/>
      <c r="G101" s="508"/>
      <c r="H101" s="508"/>
      <c r="I101" s="105" t="s">
        <v>221</v>
      </c>
      <c r="J101" s="105" t="str">
        <f>VLOOKUP(B101,ИСХОДНИК!A:P,15,FALSE())</f>
        <v>U6 PL40R</v>
      </c>
      <c r="K101" s="210">
        <f>VLOOKUP(B101,ИСХОДНИК!A:P,13,FALSE())</f>
        <v>117000</v>
      </c>
      <c r="L101" s="210">
        <f>VLOOKUP(B101,ИСХОДНИК!A:P,14,FALSE())</f>
        <v>135720</v>
      </c>
      <c r="M101" s="140" t="str">
        <f>IF(VLOOKUP(B101,ИСХОДНИК!A:R,18,FALSE())=1,ИСХОДНИК!$T$2,IF(VLOOKUP(B101,ИСХОДНИК!A:R,18,FALSE())=2,ИСХОДНИК!$T$5,IF(VLOOKUP(B101,ИСХОДНИК!A:R,18,FALSE())=3,ИСХОДНИК!$T$6)))</f>
        <v>○</v>
      </c>
    </row>
    <row r="102" spans="2:13" ht="15.75" customHeight="1">
      <c r="B102" s="97" t="s">
        <v>229</v>
      </c>
      <c r="C102" s="508" t="str">
        <f>VLOOKUP(B102,ИСХОДНИК!A:P,3,FALSE())</f>
        <v>Ремонтный комплект для SVA 200</v>
      </c>
      <c r="D102" s="508"/>
      <c r="E102" s="508"/>
      <c r="F102" s="508"/>
      <c r="G102" s="508"/>
      <c r="H102" s="508"/>
      <c r="I102" s="105" t="s">
        <v>221</v>
      </c>
      <c r="J102" s="105" t="str">
        <f>VLOOKUP(B102,ИСХОДНИК!A:P,15,FALSE())</f>
        <v>U6 PL40R</v>
      </c>
      <c r="K102" s="210">
        <f>VLOOKUP(B102,ИСХОДНИК!A:P,13,FALSE())</f>
        <v>210000</v>
      </c>
      <c r="L102" s="210">
        <f>VLOOKUP(B102,ИСХОДНИК!A:P,14,FALSE())</f>
        <v>243599.99999999997</v>
      </c>
      <c r="M102" s="140" t="str">
        <f>IF(VLOOKUP(B102,ИСХОДНИК!A:R,18,FALSE())=1,ИСХОДНИК!$T$2,IF(VLOOKUP(B102,ИСХОДНИК!A:R,18,FALSE())=2,ИСХОДНИК!$T$5,IF(VLOOKUP(B102,ИСХОДНИК!A:R,18,FALSE())=3,ИСХОДНИК!$T$6)))</f>
        <v>○</v>
      </c>
    </row>
    <row r="103" spans="2:13" ht="15.75" customHeight="1">
      <c r="B103" s="97" t="s">
        <v>230</v>
      </c>
      <c r="C103" s="508" t="str">
        <f>VLOOKUP(B103,ИСХОДНИК!A:P,3,FALSE())</f>
        <v>Ремонтный комплект для SVA 250</v>
      </c>
      <c r="D103" s="508"/>
      <c r="E103" s="508"/>
      <c r="F103" s="508"/>
      <c r="G103" s="508"/>
      <c r="H103" s="508"/>
      <c r="I103" s="105" t="s">
        <v>221</v>
      </c>
      <c r="J103" s="105" t="str">
        <f>VLOOKUP(B103,ИСХОДНИК!A:P,15,FALSE())</f>
        <v>U6 PL40R</v>
      </c>
      <c r="K103" s="210">
        <f>VLOOKUP(B103,ИСХОДНИК!A:P,13,FALSE())</f>
        <v>336000</v>
      </c>
      <c r="L103" s="210">
        <f>VLOOKUP(B103,ИСХОДНИК!A:P,14,FALSE())</f>
        <v>389760</v>
      </c>
      <c r="M103" s="140" t="str">
        <f>IF(VLOOKUP(B103,ИСХОДНИК!A:R,18,FALSE())=1,ИСХОДНИК!$T$2,IF(VLOOKUP(B103,ИСХОДНИК!A:R,18,FALSE())=2,ИСХОДНИК!$T$5,IF(VLOOKUP(B103,ИСХОДНИК!A:R,18,FALSE())=3,ИСХОДНИК!$T$6)))</f>
        <v>○</v>
      </c>
    </row>
    <row r="104" spans="2:13" ht="15.75" customHeight="1">
      <c r="B104" s="97" t="s">
        <v>231</v>
      </c>
      <c r="C104" s="508" t="str">
        <f>VLOOKUP(B104,ИСХОДНИК!A:P,3,FALSE())</f>
        <v>Ремонтный комплект для SVA 300</v>
      </c>
      <c r="D104" s="508"/>
      <c r="E104" s="508"/>
      <c r="F104" s="508"/>
      <c r="G104" s="508"/>
      <c r="H104" s="508"/>
      <c r="I104" s="105" t="s">
        <v>221</v>
      </c>
      <c r="J104" s="105" t="str">
        <f>VLOOKUP(B104,ИСХОДНИК!A:P,15,FALSE())</f>
        <v>U6 PL40R</v>
      </c>
      <c r="K104" s="210">
        <f>VLOOKUP(B104,ИСХОДНИК!A:P,13,FALSE())</f>
        <v>522000</v>
      </c>
      <c r="L104" s="210">
        <f>VLOOKUP(B104,ИСХОДНИК!A:P,14,FALSE())</f>
        <v>605520</v>
      </c>
      <c r="M104" s="140" t="str">
        <f>IF(VLOOKUP(B104,ИСХОДНИК!A:R,18,FALSE())=1,ИСХОДНИК!$T$2,IF(VLOOKUP(B104,ИСХОДНИК!A:R,18,FALSE())=2,ИСХОДНИК!$T$5,IF(VLOOKUP(B104,ИСХОДНИК!A:R,18,FALSE())=3,ИСХОДНИК!$T$6)))</f>
        <v>○</v>
      </c>
    </row>
    <row r="105" spans="2:13" ht="15.75" customHeight="1">
      <c r="B105" s="97" t="s">
        <v>232</v>
      </c>
      <c r="C105" s="508" t="str">
        <f>VLOOKUP(B105,ИСХОДНИК!A:P,3,FALSE())</f>
        <v>Ремонтный комплект для SVA 350</v>
      </c>
      <c r="D105" s="508"/>
      <c r="E105" s="508"/>
      <c r="F105" s="508"/>
      <c r="G105" s="508"/>
      <c r="H105" s="508"/>
      <c r="I105" s="105" t="s">
        <v>221</v>
      </c>
      <c r="J105" s="105" t="str">
        <f>VLOOKUP(B105,ИСХОДНИК!A:P,15,FALSE())</f>
        <v>U6 PL40R</v>
      </c>
      <c r="K105" s="210">
        <f>VLOOKUP(B105,ИСХОДНИК!A:P,13,FALSE())</f>
        <v>780000</v>
      </c>
      <c r="L105" s="210">
        <f>VLOOKUP(B105,ИСХОДНИК!A:P,14,FALSE())</f>
        <v>904799.99999999988</v>
      </c>
      <c r="M105" s="140" t="str">
        <f>IF(VLOOKUP(B105,ИСХОДНИК!A:R,18,FALSE())=1,ИСХОДНИК!$T$2,IF(VLOOKUP(B105,ИСХОДНИК!A:R,18,FALSE())=2,ИСХОДНИК!$T$5,IF(VLOOKUP(B105,ИСХОДНИК!A:R,18,FALSE())=3,ИСХОДНИК!$T$6)))</f>
        <v>○</v>
      </c>
    </row>
    <row r="106" spans="2:13" ht="13.5">
      <c r="J106" s="105"/>
      <c r="K106" s="211"/>
      <c r="L106" s="211"/>
      <c r="M106" s="105"/>
    </row>
    <row r="107" spans="2:13" ht="18" customHeight="1">
      <c r="B107" s="97" t="s">
        <v>233</v>
      </c>
      <c r="C107" s="495" t="str">
        <f>VLOOKUP(B107,ИСХОДНИК!A:P,3,FALSE())</f>
        <v>Колпачок с прокладкой для SVA, SCA, REG (DN 15-25).</v>
      </c>
      <c r="D107" s="495"/>
      <c r="E107" s="495"/>
      <c r="F107" s="495"/>
      <c r="G107" s="495"/>
      <c r="H107" s="495"/>
      <c r="I107" s="105">
        <v>14</v>
      </c>
      <c r="J107" s="105" t="str">
        <f>VLOOKUP(B107,ИСХОДНИК!A:P,15,FALSE())</f>
        <v>U6 PL40R</v>
      </c>
      <c r="K107" s="210">
        <f>VLOOKUP(B107,ИСХОДНИК!A:P,13,FALSE())</f>
        <v>6600</v>
      </c>
      <c r="L107" s="210">
        <f>VLOOKUP(B107,ИСХОДНИК!A:P,14,FALSE())</f>
        <v>7655.9999999999991</v>
      </c>
      <c r="M107" s="104" t="str">
        <f>IF(VLOOKUP(B107,ИСХОДНИК!A:R,18,FALSE())=1,ИСХОДНИК!$T$2,IF(VLOOKUP(B107,ИСХОДНИК!A:R,18,FALSE())=2,ИСХОДНИК!$T$5,IF(VLOOKUP(B107,ИСХОДНИК!A:R,18,FALSE())=3,ИСХОДНИК!$T$6)))</f>
        <v>◑</v>
      </c>
    </row>
    <row r="108" spans="2:13" ht="18" customHeight="1">
      <c r="B108" s="97" t="s">
        <v>234</v>
      </c>
      <c r="C108" s="495" t="str">
        <f>VLOOKUP(B108,ИСХОДНИК!A:P,3,FALSE())</f>
        <v xml:space="preserve">Колпачок с прокладкой для SVA, SCA, REG (DN 32-50). </v>
      </c>
      <c r="D108" s="495"/>
      <c r="E108" s="495"/>
      <c r="F108" s="495"/>
      <c r="G108" s="495"/>
      <c r="H108" s="495"/>
      <c r="I108" s="105">
        <v>14</v>
      </c>
      <c r="J108" s="105" t="str">
        <f>VLOOKUP(B108,ИСХОДНИК!A:P,15,FALSE())</f>
        <v>U6 PL40R</v>
      </c>
      <c r="K108" s="210">
        <f>VLOOKUP(B108,ИСХОДНИК!A:P,13,FALSE())</f>
        <v>11400</v>
      </c>
      <c r="L108" s="210">
        <f>VLOOKUP(B108,ИСХОДНИК!A:P,14,FALSE())</f>
        <v>13223.999999999998</v>
      </c>
      <c r="M108" s="104" t="str">
        <f>IF(VLOOKUP(B108,ИСХОДНИК!A:R,18,FALSE())=1,ИСХОДНИК!$T$2,IF(VLOOKUP(B108,ИСХОДНИК!A:R,18,FALSE())=2,ИСХОДНИК!$T$5,IF(VLOOKUP(B108,ИСХОДНИК!A:R,18,FALSE())=3,ИСХОДНИК!$T$6)))</f>
        <v>◑</v>
      </c>
    </row>
    <row r="109" spans="2:13" ht="18" customHeight="1">
      <c r="B109" s="97" t="s">
        <v>235</v>
      </c>
      <c r="C109" s="495" t="str">
        <f>VLOOKUP(B109,ИСХОДНИК!A:P,3,FALSE())</f>
        <v>Колпачок с прокладкой для SVA, SCA, REG (DN 65)</v>
      </c>
      <c r="D109" s="495"/>
      <c r="E109" s="495"/>
      <c r="F109" s="495"/>
      <c r="G109" s="495"/>
      <c r="H109" s="495"/>
      <c r="I109" s="105">
        <v>14</v>
      </c>
      <c r="J109" s="105" t="str">
        <f>VLOOKUP(B109,ИСХОДНИК!A:P,15,FALSE())</f>
        <v>U6 PL40R</v>
      </c>
      <c r="K109" s="210">
        <f>VLOOKUP(B109,ИСХОДНИК!A:P,13,FALSE())</f>
        <v>12600</v>
      </c>
      <c r="L109" s="210">
        <f>VLOOKUP(B109,ИСХОДНИК!A:P,14,FALSE())</f>
        <v>14615.999999999998</v>
      </c>
      <c r="M109" s="104" t="str">
        <f>IF(VLOOKUP(B109,ИСХОДНИК!A:R,18,FALSE())=1,ИСХОДНИК!$T$2,IF(VLOOKUP(B109,ИСХОДНИК!A:R,18,FALSE())=2,ИСХОДНИК!$T$5,IF(VLOOKUP(B109,ИСХОДНИК!A:R,18,FALSE())=3,ИСХОДНИК!$T$6)))</f>
        <v>◑</v>
      </c>
    </row>
    <row r="110" spans="2:13" ht="18" customHeight="1">
      <c r="B110" s="97" t="s">
        <v>236</v>
      </c>
      <c r="C110" s="495" t="str">
        <f>VLOOKUP(B110,ИСХОДНИК!A:P,3,FALSE())</f>
        <v>Колпачок с прокладкой для SVA, SCA (DN 80-100)</v>
      </c>
      <c r="D110" s="495"/>
      <c r="E110" s="495"/>
      <c r="F110" s="495"/>
      <c r="G110" s="495"/>
      <c r="H110" s="495"/>
      <c r="I110" s="105">
        <v>14</v>
      </c>
      <c r="J110" s="105" t="str">
        <f>VLOOKUP(B110,ИСХОДНИК!A:P,15,FALSE())</f>
        <v>U6 PL40R</v>
      </c>
      <c r="K110" s="210">
        <f>VLOOKUP(B110,ИСХОДНИК!A:P,13,FALSE())</f>
        <v>19800</v>
      </c>
      <c r="L110" s="210">
        <f>VLOOKUP(B110,ИСХОДНИК!A:P,14,FALSE())</f>
        <v>22968</v>
      </c>
      <c r="M110" s="104" t="str">
        <f>IF(VLOOKUP(B110,ИСХОДНИК!A:R,18,FALSE())=1,ИСХОДНИК!$T$2,IF(VLOOKUP(B110,ИСХОДНИК!A:R,18,FALSE())=2,ИСХОДНИК!$T$5,IF(VLOOKUP(B110,ИСХОДНИК!A:R,18,FALSE())=3,ИСХОДНИК!$T$6)))</f>
        <v>◑</v>
      </c>
    </row>
    <row r="111" spans="2:13" ht="18" customHeight="1">
      <c r="B111" s="97" t="s">
        <v>237</v>
      </c>
      <c r="C111" s="495" t="str">
        <f>VLOOKUP(B111,ИСХОДНИК!A:P,3,FALSE())</f>
        <v>Колпачок с прокладкой для SVA, SCA (DN 125-150)</v>
      </c>
      <c r="D111" s="495"/>
      <c r="E111" s="495"/>
      <c r="F111" s="495"/>
      <c r="G111" s="495"/>
      <c r="H111" s="495"/>
      <c r="I111" s="105">
        <v>14</v>
      </c>
      <c r="J111" s="105" t="str">
        <f>VLOOKUP(B111,ИСХОДНИК!A:P,15,FALSE())</f>
        <v>U6 PL40R</v>
      </c>
      <c r="K111" s="210">
        <f>VLOOKUP(B111,ИСХОДНИК!A:P,13,FALSE())</f>
        <v>29400</v>
      </c>
      <c r="L111" s="210">
        <f>VLOOKUP(B111,ИСХОДНИК!A:P,14,FALSE())</f>
        <v>34104</v>
      </c>
      <c r="M111" s="104" t="str">
        <f>IF(VLOOKUP(B111,ИСХОДНИК!A:R,18,FALSE())=1,ИСХОДНИК!$T$2,IF(VLOOKUP(B111,ИСХОДНИК!A:R,18,FALSE())=2,ИСХОДНИК!$T$5,IF(VLOOKUP(B111,ИСХОДНИК!A:R,18,FALSE())=3,ИСХОДНИК!$T$6)))</f>
        <v>◑</v>
      </c>
    </row>
    <row r="112" spans="2:13" ht="18" customHeight="1">
      <c r="B112" s="97" t="s">
        <v>238</v>
      </c>
      <c r="C112" s="495" t="str">
        <f>VLOOKUP(B112,ИСХОДНИК!A:P,3,FALSE())</f>
        <v>Колпачок с прокладкой SVA (DN 200-350)</v>
      </c>
      <c r="D112" s="495"/>
      <c r="E112" s="495"/>
      <c r="F112" s="495"/>
      <c r="G112" s="495"/>
      <c r="H112" s="495"/>
      <c r="I112" s="105">
        <v>14</v>
      </c>
      <c r="J112" s="105" t="str">
        <f>VLOOKUP(B112,ИСХОДНИК!A:P,15,FALSE())</f>
        <v>U6 PL40R</v>
      </c>
      <c r="K112" s="210">
        <f>VLOOKUP(B112,ИСХОДНИК!A:P,13,FALSE())</f>
        <v>41400</v>
      </c>
      <c r="L112" s="210">
        <f>VLOOKUP(B112,ИСХОДНИК!A:P,14,FALSE())</f>
        <v>48024</v>
      </c>
      <c r="M112" s="104" t="str">
        <f>IF(VLOOKUP(B112,ИСХОДНИК!A:R,18,FALSE())=1,ИСХОДНИК!$T$2,IF(VLOOKUP(B112,ИСХОДНИК!A:R,18,FALSE())=2,ИСХОДНИК!$T$5,IF(VLOOKUP(B112,ИСХОДНИК!A:R,18,FALSE())=3,ИСХОДНИК!$T$6)))</f>
        <v>◑</v>
      </c>
    </row>
    <row r="113" spans="2:13" ht="13.5">
      <c r="J113" s="105"/>
      <c r="K113" s="210"/>
      <c r="L113" s="210" t="e">
        <f>VLOOKUP(B113,ИСХОДНИК!A:P,14,FALSE())</f>
        <v>#N/A</v>
      </c>
      <c r="M113" s="105"/>
    </row>
    <row r="114" spans="2:13" ht="16.5" customHeight="1">
      <c r="B114" s="97" t="s">
        <v>239</v>
      </c>
      <c r="C114" s="495" t="str">
        <f>VLOOKUP(B114,ИСХОДНИК!A:P,3,FALSE())</f>
        <v>Маховик (60 мм) для клапанов SVA, REG, SCA DN 15-25</v>
      </c>
      <c r="D114" s="495"/>
      <c r="E114" s="495"/>
      <c r="F114" s="495"/>
      <c r="G114" s="495"/>
      <c r="H114" s="495"/>
      <c r="I114" s="105">
        <v>15</v>
      </c>
      <c r="J114" s="105" t="str">
        <f>VLOOKUP(B114,ИСХОДНИК!A:P,15,FALSE())</f>
        <v>U6 PL40R</v>
      </c>
      <c r="K114" s="210">
        <f>VLOOKUP(B114,ИСХОДНИК!A:P,13,FALSE())</f>
        <v>17400</v>
      </c>
      <c r="L114" s="210">
        <f>VLOOKUP(B114,ИСХОДНИК!A:P,14,FALSE())</f>
        <v>20184</v>
      </c>
      <c r="M114" s="140" t="str">
        <f>IF(VLOOKUP(B114,ИСХОДНИК!A:R,18,FALSE())=1,ИСХОДНИК!$T$2,IF(VLOOKUP(B114,ИСХОДНИК!A:R,18,FALSE())=2,ИСХОДНИК!$T$5,IF(VLOOKUP(B114,ИСХОДНИК!A:R,18,FALSE())=3,ИСХОДНИК!$T$6)))</f>
        <v>○</v>
      </c>
    </row>
    <row r="115" spans="2:13" ht="16.5" customHeight="1">
      <c r="B115" s="97" t="s">
        <v>240</v>
      </c>
      <c r="C115" s="495" t="str">
        <f>VLOOKUP(B115,ИСХОДНИК!A:P,3,FALSE())</f>
        <v>Маховик (80 мм) для клапанов SVA, REG, SCA DN 32-40</v>
      </c>
      <c r="D115" s="495"/>
      <c r="E115" s="495"/>
      <c r="F115" s="495"/>
      <c r="G115" s="495"/>
      <c r="H115" s="495"/>
      <c r="I115" s="105">
        <v>15</v>
      </c>
      <c r="J115" s="105" t="str">
        <f>VLOOKUP(B115,ИСХОДНИК!A:P,15,FALSE())</f>
        <v>U6 PL40R</v>
      </c>
      <c r="K115" s="210">
        <f>VLOOKUP(B115,ИСХОДНИК!A:P,13,FALSE())</f>
        <v>23400</v>
      </c>
      <c r="L115" s="210">
        <f>VLOOKUP(B115,ИСХОДНИК!A:P,14,FALSE())</f>
        <v>27143.999999999996</v>
      </c>
      <c r="M115" s="140" t="str">
        <f>IF(VLOOKUP(B115,ИСХОДНИК!A:R,18,FALSE())=1,ИСХОДНИК!$T$2,IF(VLOOKUP(B115,ИСХОДНИК!A:R,18,FALSE())=2,ИСХОДНИК!$T$5,IF(VLOOKUP(B115,ИСХОДНИК!A:R,18,FALSE())=3,ИСХОДНИК!$T$6)))</f>
        <v>○</v>
      </c>
    </row>
    <row r="116" spans="2:13" ht="16.5" customHeight="1">
      <c r="B116" s="97" t="s">
        <v>241</v>
      </c>
      <c r="C116" s="495" t="str">
        <f>VLOOKUP(B116,ИСХОДНИК!A:P,3,FALSE())</f>
        <v>Маховик (100 мм) для клапанов SVA, REG, SCA DN 50</v>
      </c>
      <c r="D116" s="495"/>
      <c r="E116" s="495"/>
      <c r="F116" s="495"/>
      <c r="G116" s="495"/>
      <c r="H116" s="495"/>
      <c r="I116" s="105">
        <v>15</v>
      </c>
      <c r="J116" s="105" t="str">
        <f>VLOOKUP(B116,ИСХОДНИК!A:P,15,FALSE())</f>
        <v>U6 PL40R</v>
      </c>
      <c r="K116" s="210">
        <f>VLOOKUP(B116,ИСХОДНИК!A:P,13,FALSE())</f>
        <v>29400</v>
      </c>
      <c r="L116" s="210">
        <f>VLOOKUP(B116,ИСХОДНИК!A:P,14,FALSE())</f>
        <v>34104</v>
      </c>
      <c r="M116" s="140" t="str">
        <f>IF(VLOOKUP(B116,ИСХОДНИК!A:R,18,FALSE())=1,ИСХОДНИК!$T$2,IF(VLOOKUP(B116,ИСХОДНИК!A:R,18,FALSE())=2,ИСХОДНИК!$T$5,IF(VLOOKUP(B116,ИСХОДНИК!A:R,18,FALSE())=3,ИСХОДНИК!$T$6)))</f>
        <v>○</v>
      </c>
    </row>
    <row r="117" spans="2:13" ht="16.5" customHeight="1">
      <c r="B117" s="97" t="s">
        <v>242</v>
      </c>
      <c r="C117" s="495" t="str">
        <f>VLOOKUP(B117,ИСХОДНИК!A:P,3,FALSE())</f>
        <v>Маховик (120 мм) для клапанов SVA, REG, SCA DN 65</v>
      </c>
      <c r="D117" s="495"/>
      <c r="E117" s="495"/>
      <c r="F117" s="495"/>
      <c r="G117" s="495"/>
      <c r="H117" s="495"/>
      <c r="I117" s="105">
        <v>15</v>
      </c>
      <c r="J117" s="105" t="str">
        <f>VLOOKUP(B117,ИСХОДНИК!A:P,15,FALSE())</f>
        <v>U6 PL40R</v>
      </c>
      <c r="K117" s="210">
        <f>VLOOKUP(B117,ИСХОДНИК!A:P,13,FALSE())</f>
        <v>35400</v>
      </c>
      <c r="L117" s="210">
        <f>VLOOKUP(B117,ИСХОДНИК!A:P,14,FALSE())</f>
        <v>41064</v>
      </c>
      <c r="M117" s="140" t="str">
        <f>IF(VLOOKUP(B117,ИСХОДНИК!A:R,18,FALSE())=1,ИСХОДНИК!$T$2,IF(VLOOKUP(B117,ИСХОДНИК!A:R,18,FALSE())=2,ИСХОДНИК!$T$5,IF(VLOOKUP(B117,ИСХОДНИК!A:R,18,FALSE())=3,ИСХОДНИК!$T$6)))</f>
        <v>○</v>
      </c>
    </row>
    <row r="118" spans="2:13" ht="16.5" customHeight="1">
      <c r="B118" s="97" t="s">
        <v>243</v>
      </c>
      <c r="C118" s="495" t="str">
        <f>VLOOKUP(B118,ИСХОДНИК!A:P,3,FALSE())</f>
        <v>Маховик (160 мм) для клапанов SVA, SCA DN 80</v>
      </c>
      <c r="D118" s="495"/>
      <c r="E118" s="495"/>
      <c r="F118" s="495"/>
      <c r="G118" s="495"/>
      <c r="H118" s="495"/>
      <c r="I118" s="105">
        <v>15</v>
      </c>
      <c r="J118" s="105" t="str">
        <f>VLOOKUP(B118,ИСХОДНИК!A:P,15,FALSE())</f>
        <v>U6 PL40R</v>
      </c>
      <c r="K118" s="210">
        <f>VLOOKUP(B118,ИСХОДНИК!A:P,13,FALSE())</f>
        <v>45000</v>
      </c>
      <c r="L118" s="210">
        <f>VLOOKUP(B118,ИСХОДНИК!A:P,14,FALSE())</f>
        <v>52200</v>
      </c>
      <c r="M118" s="140" t="str">
        <f>IF(VLOOKUP(B118,ИСХОДНИК!A:R,18,FALSE())=1,ИСХОДНИК!$T$2,IF(VLOOKUP(B118,ИСХОДНИК!A:R,18,FALSE())=2,ИСХОДНИК!$T$5,IF(VLOOKUP(B118,ИСХОДНИК!A:R,18,FALSE())=3,ИСХОДНИК!$T$6)))</f>
        <v>○</v>
      </c>
    </row>
    <row r="119" spans="2:13" ht="16.5" customHeight="1">
      <c r="B119" s="97" t="s">
        <v>244</v>
      </c>
      <c r="C119" s="495" t="str">
        <f>VLOOKUP(B119,ИСХОДНИК!A:P,3,FALSE())</f>
        <v>Маховик (180 мм) для клапанов SVA, SCA DN 100</v>
      </c>
      <c r="D119" s="495"/>
      <c r="E119" s="495"/>
      <c r="F119" s="495"/>
      <c r="G119" s="495"/>
      <c r="H119" s="495"/>
      <c r="I119" s="105">
        <v>15</v>
      </c>
      <c r="J119" s="105" t="str">
        <f>VLOOKUP(B119,ИСХОДНИК!A:P,15,FALSE())</f>
        <v>U6 PL40R</v>
      </c>
      <c r="K119" s="210">
        <f>VLOOKUP(B119,ИСХОДНИК!A:P,13,FALSE())</f>
        <v>51000</v>
      </c>
      <c r="L119" s="210">
        <f>VLOOKUP(B119,ИСХОДНИК!A:P,14,FALSE())</f>
        <v>59159.999999999993</v>
      </c>
      <c r="M119" s="140" t="str">
        <f>IF(VLOOKUP(B119,ИСХОДНИК!A:R,18,FALSE())=1,ИСХОДНИК!$T$2,IF(VLOOKUP(B119,ИСХОДНИК!A:R,18,FALSE())=2,ИСХОДНИК!$T$5,IF(VLOOKUP(B119,ИСХОДНИК!A:R,18,FALSE())=3,ИСХОДНИК!$T$6)))</f>
        <v>○</v>
      </c>
    </row>
    <row r="120" spans="2:13" ht="16.5" customHeight="1">
      <c r="B120" s="97" t="s">
        <v>245</v>
      </c>
      <c r="C120" s="495" t="str">
        <f>VLOOKUP(B120,ИСХОДНИК!A:P,3,FALSE())</f>
        <v>Маховик (200 мм) для клапанов SVA, SCA DN 125</v>
      </c>
      <c r="D120" s="495"/>
      <c r="E120" s="495"/>
      <c r="F120" s="495"/>
      <c r="G120" s="495"/>
      <c r="H120" s="495"/>
      <c r="I120" s="105">
        <v>15</v>
      </c>
      <c r="J120" s="105" t="str">
        <f>VLOOKUP(B120,ИСХОДНИК!A:P,15,FALSE())</f>
        <v>U6 PL40R</v>
      </c>
      <c r="K120" s="210">
        <f>VLOOKUP(B120,ИСХОДНИК!A:P,13,FALSE())</f>
        <v>57000</v>
      </c>
      <c r="L120" s="210">
        <f>VLOOKUP(B120,ИСХОДНИК!A:P,14,FALSE())</f>
        <v>66120</v>
      </c>
      <c r="M120" s="140" t="str">
        <f>IF(VLOOKUP(B120,ИСХОДНИК!A:R,18,FALSE())=1,ИСХОДНИК!$T$2,IF(VLOOKUP(B120,ИСХОДНИК!A:R,18,FALSE())=2,ИСХОДНИК!$T$5,IF(VLOOKUP(B120,ИСХОДНИК!A:R,18,FALSE())=3,ИСХОДНИК!$T$6)))</f>
        <v>○</v>
      </c>
    </row>
    <row r="121" spans="2:13" ht="16.5" customHeight="1">
      <c r="B121" s="97" t="s">
        <v>246</v>
      </c>
      <c r="C121" s="495" t="str">
        <f>VLOOKUP(B121,ИСХОДНИК!A:P,3,FALSE())</f>
        <v>Маховик (250 мм) для клапанов SVA SCA DN 150</v>
      </c>
      <c r="D121" s="495"/>
      <c r="E121" s="495"/>
      <c r="F121" s="495"/>
      <c r="G121" s="495"/>
      <c r="H121" s="495"/>
      <c r="I121" s="105">
        <v>15</v>
      </c>
      <c r="J121" s="105" t="str">
        <f>VLOOKUP(B121,ИСХОДНИК!A:P,15,FALSE())</f>
        <v>U6 PL40R</v>
      </c>
      <c r="K121" s="210">
        <f>VLOOKUP(B121,ИСХОДНИК!A:P,13,FALSE())</f>
        <v>72000</v>
      </c>
      <c r="L121" s="210">
        <f>VLOOKUP(B121,ИСХОДНИК!A:P,14,FALSE())</f>
        <v>83520</v>
      </c>
      <c r="M121" s="140" t="str">
        <f>IF(VLOOKUP(B121,ИСХОДНИК!A:R,18,FALSE())=1,ИСХОДНИК!$T$2,IF(VLOOKUP(B121,ИСХОДНИК!A:R,18,FALSE())=2,ИСХОДНИК!$T$5,IF(VLOOKUP(B121,ИСХОДНИК!A:R,18,FALSE())=3,ИСХОДНИК!$T$6)))</f>
        <v>○</v>
      </c>
    </row>
    <row r="122" spans="2:13" ht="16.5" customHeight="1">
      <c r="B122" s="97" t="s">
        <v>247</v>
      </c>
      <c r="C122" s="495" t="str">
        <f>VLOOKUP(B122,ИСХОДНИК!A:P,3,FALSE())</f>
        <v>Маховик (350 мм) для клапанов SVA DN 200</v>
      </c>
      <c r="D122" s="495"/>
      <c r="E122" s="495"/>
      <c r="F122" s="495"/>
      <c r="G122" s="495"/>
      <c r="H122" s="495"/>
      <c r="I122" s="105">
        <v>15</v>
      </c>
      <c r="J122" s="105" t="str">
        <f>VLOOKUP(B122,ИСХОДНИК!A:P,15,FALSE())</f>
        <v>U6 PL40R</v>
      </c>
      <c r="K122" s="210">
        <f>VLOOKUP(B122,ИСХОДНИК!A:P,13,FALSE())</f>
        <v>99000</v>
      </c>
      <c r="L122" s="210">
        <f>VLOOKUP(B122,ИСХОДНИК!A:P,14,FALSE())</f>
        <v>114839.99999999999</v>
      </c>
      <c r="M122" s="140" t="str">
        <f>IF(VLOOKUP(B122,ИСХОДНИК!A:R,18,FALSE())=1,ИСХОДНИК!$T$2,IF(VLOOKUP(B122,ИСХОДНИК!A:R,18,FALSE())=2,ИСХОДНИК!$T$5,IF(VLOOKUP(B122,ИСХОДНИК!A:R,18,FALSE())=3,ИСХОДНИК!$T$6)))</f>
        <v>○</v>
      </c>
    </row>
    <row r="123" spans="2:13" ht="16.5" customHeight="1">
      <c r="B123" s="97" t="s">
        <v>248</v>
      </c>
      <c r="C123" s="495" t="str">
        <f>VLOOKUP(B123,ИСХОДНИК!A:P,3,FALSE())</f>
        <v>Маховик (400 мм) для клапанов SVA DN 250-350</v>
      </c>
      <c r="D123" s="495"/>
      <c r="E123" s="495"/>
      <c r="F123" s="495"/>
      <c r="G123" s="495"/>
      <c r="H123" s="495"/>
      <c r="I123" s="105">
        <v>15</v>
      </c>
      <c r="J123" s="105" t="str">
        <f>VLOOKUP(B123,ИСХОДНИК!A:P,15,FALSE())</f>
        <v>U6 PL40R</v>
      </c>
      <c r="K123" s="210">
        <f>VLOOKUP(B123,ИСХОДНИК!A:P,13,FALSE())</f>
        <v>111000</v>
      </c>
      <c r="L123" s="210">
        <f>VLOOKUP(B123,ИСХОДНИК!A:P,14,FALSE())</f>
        <v>128759.99999999999</v>
      </c>
      <c r="M123" s="140" t="str">
        <f>IF(VLOOKUP(B123,ИСХОДНИК!A:R,18,FALSE())=1,ИСХОДНИК!$T$2,IF(VLOOKUP(B123,ИСХОДНИК!A:R,18,FALSE())=2,ИСХОДНИК!$T$5,IF(VLOOKUP(B123,ИСХОДНИК!A:R,18,FALSE())=3,ИСХОДНИК!$T$6)))</f>
        <v>○</v>
      </c>
    </row>
  </sheetData>
  <autoFilter ref="B11:M57" xr:uid="{00000000-0009-0000-0000-000003000000}"/>
  <mergeCells count="58">
    <mergeCell ref="C119:H119"/>
    <mergeCell ref="C120:H120"/>
    <mergeCell ref="C121:H121"/>
    <mergeCell ref="C122:H122"/>
    <mergeCell ref="C123:H123"/>
    <mergeCell ref="C114:H114"/>
    <mergeCell ref="C115:H115"/>
    <mergeCell ref="C116:H116"/>
    <mergeCell ref="C117:H117"/>
    <mergeCell ref="C118:H118"/>
    <mergeCell ref="C108:H108"/>
    <mergeCell ref="C109:H109"/>
    <mergeCell ref="C110:H110"/>
    <mergeCell ref="C111:H111"/>
    <mergeCell ref="C112:H112"/>
    <mergeCell ref="C102:H102"/>
    <mergeCell ref="C103:H103"/>
    <mergeCell ref="C104:H104"/>
    <mergeCell ref="C105:H105"/>
    <mergeCell ref="C107:H107"/>
    <mergeCell ref="C97:H97"/>
    <mergeCell ref="C98:H98"/>
    <mergeCell ref="C99:H99"/>
    <mergeCell ref="C100:H100"/>
    <mergeCell ref="C101:H101"/>
    <mergeCell ref="C91:H91"/>
    <mergeCell ref="C92:H92"/>
    <mergeCell ref="C94:H94"/>
    <mergeCell ref="C95:H95"/>
    <mergeCell ref="C96:H96"/>
    <mergeCell ref="B86:M86"/>
    <mergeCell ref="C87:H87"/>
    <mergeCell ref="C88:H88"/>
    <mergeCell ref="C89:H89"/>
    <mergeCell ref="C90:H90"/>
    <mergeCell ref="C81:H81"/>
    <mergeCell ref="C82:H82"/>
    <mergeCell ref="C83:H83"/>
    <mergeCell ref="C84:H84"/>
    <mergeCell ref="C85:H85"/>
    <mergeCell ref="C76:H76"/>
    <mergeCell ref="C77:H77"/>
    <mergeCell ref="C78:H78"/>
    <mergeCell ref="C79:H79"/>
    <mergeCell ref="C80:H80"/>
    <mergeCell ref="B33:M33"/>
    <mergeCell ref="B59:M59"/>
    <mergeCell ref="B60:C73"/>
    <mergeCell ref="C74:H74"/>
    <mergeCell ref="C75:H75"/>
    <mergeCell ref="O2:T2"/>
    <mergeCell ref="B3:H3"/>
    <mergeCell ref="Q3:R9"/>
    <mergeCell ref="J10:M10"/>
    <mergeCell ref="O10:O11"/>
    <mergeCell ref="P10:P11"/>
    <mergeCell ref="Q10:R10"/>
    <mergeCell ref="S10:T10"/>
  </mergeCells>
  <conditionalFormatting sqref="K12:L32 K34:L57 K75:K85 K87:K123 L75:L85 L87:L123">
    <cfRule type="containsErrors" dxfId="6" priority="2">
      <formula>ISERROR(K12)</formula>
    </cfRule>
  </conditionalFormatting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3"/>
  <sheetViews>
    <sheetView showGridLines="0" zoomScaleNormal="100" workbookViewId="0">
      <selection activeCell="K12" sqref="K12"/>
    </sheetView>
  </sheetViews>
  <sheetFormatPr defaultColWidth="9.1796875" defaultRowHeight="12" customHeight="1"/>
  <cols>
    <col min="1" max="1" width="2.1796875" style="107" customWidth="1"/>
    <col min="2" max="2" width="16.1796875" style="108" customWidth="1"/>
    <col min="3" max="3" width="24.81640625" style="107" customWidth="1"/>
    <col min="4" max="4" width="13.1796875" style="107" hidden="1" customWidth="1"/>
    <col min="5" max="5" width="35.453125" style="107" customWidth="1"/>
    <col min="6" max="6" width="9.1796875" style="107"/>
    <col min="7" max="7" width="19.54296875" style="107" customWidth="1"/>
    <col min="8" max="8" width="11.1796875" style="107" customWidth="1"/>
    <col min="9" max="9" width="16.1796875" style="107" customWidth="1"/>
    <col min="10" max="10" width="16.7265625" style="107" customWidth="1"/>
    <col min="11" max="11" width="12.1796875" style="107" customWidth="1"/>
    <col min="12" max="12" width="11.1796875" style="107" customWidth="1"/>
    <col min="13" max="13" width="6.7265625" style="107" customWidth="1"/>
    <col min="14" max="16384" width="9.1796875" style="107"/>
  </cols>
  <sheetData>
    <row r="1" spans="1:16" ht="11.25" customHeight="1"/>
    <row r="2" spans="1:16" ht="42" customHeight="1">
      <c r="B2" s="213" t="s">
        <v>249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6" ht="92.25" customHeight="1">
      <c r="B3" s="491" t="s">
        <v>250</v>
      </c>
      <c r="C3" s="491"/>
      <c r="D3" s="491"/>
      <c r="E3" s="491"/>
      <c r="F3" s="491"/>
      <c r="G3" s="491"/>
      <c r="H3" s="491"/>
      <c r="I3" s="158"/>
      <c r="J3" s="158"/>
      <c r="K3" s="158"/>
      <c r="L3" s="158"/>
      <c r="M3" s="114"/>
    </row>
    <row r="4" spans="1:16" ht="11.25" customHeight="1">
      <c r="B4" s="76" t="s">
        <v>58</v>
      </c>
      <c r="C4" s="115" t="s">
        <v>59</v>
      </c>
      <c r="D4" s="163"/>
      <c r="E4" s="164"/>
      <c r="F4" s="116"/>
      <c r="G4" s="116"/>
      <c r="H4" s="120"/>
      <c r="I4" s="158"/>
      <c r="J4" s="158"/>
      <c r="K4" s="158"/>
      <c r="L4" s="158"/>
      <c r="M4" s="114"/>
    </row>
    <row r="5" spans="1:16" ht="11.25" customHeight="1">
      <c r="B5" s="78" t="s">
        <v>61</v>
      </c>
      <c r="C5" s="115" t="s">
        <v>62</v>
      </c>
      <c r="D5" s="163"/>
      <c r="E5" s="164"/>
      <c r="F5" s="116"/>
      <c r="G5" s="116"/>
      <c r="H5" s="120"/>
      <c r="I5" s="158"/>
      <c r="J5" s="158"/>
      <c r="K5" s="158"/>
      <c r="L5" s="158"/>
      <c r="M5" s="114"/>
    </row>
    <row r="6" spans="1:16" ht="11.25" customHeight="1">
      <c r="B6" s="80" t="s">
        <v>65</v>
      </c>
      <c r="C6" s="115" t="s">
        <v>66</v>
      </c>
      <c r="D6" s="163"/>
      <c r="E6" s="164"/>
      <c r="F6" s="116"/>
      <c r="G6" s="116"/>
      <c r="H6" s="120"/>
      <c r="I6" s="158"/>
      <c r="J6" s="158"/>
      <c r="K6" s="158"/>
      <c r="L6" s="158"/>
      <c r="M6" s="114"/>
    </row>
    <row r="7" spans="1:16" ht="11.25" customHeight="1">
      <c r="B7" s="80"/>
      <c r="C7" s="115"/>
      <c r="D7" s="163"/>
      <c r="E7" s="164"/>
      <c r="F7" s="116"/>
      <c r="G7" s="116"/>
      <c r="H7" s="120"/>
      <c r="I7" s="158"/>
      <c r="J7" s="158"/>
      <c r="K7" s="158"/>
      <c r="L7" s="158"/>
      <c r="M7" s="114"/>
    </row>
    <row r="8" spans="1:16" ht="15" customHeight="1">
      <c r="B8" s="118"/>
      <c r="C8" s="119"/>
      <c r="D8" s="119"/>
      <c r="E8" s="119"/>
      <c r="F8" s="120"/>
      <c r="G8" s="120"/>
      <c r="H8" s="120"/>
      <c r="I8" s="158"/>
      <c r="J8" s="158"/>
      <c r="K8" s="158"/>
      <c r="L8" s="158"/>
      <c r="M8" s="114"/>
    </row>
    <row r="9" spans="1:16" ht="15" customHeight="1">
      <c r="A9" s="121"/>
      <c r="B9" s="214"/>
      <c r="C9" s="74"/>
      <c r="D9" s="74"/>
      <c r="E9" s="74"/>
      <c r="F9" s="123"/>
      <c r="G9" s="123"/>
      <c r="H9" s="120"/>
      <c r="I9" s="158"/>
      <c r="J9" s="158"/>
      <c r="K9" s="158"/>
      <c r="L9" s="158"/>
      <c r="M9" s="114"/>
    </row>
    <row r="10" spans="1:16" ht="21.75" customHeight="1">
      <c r="B10" s="174" t="s">
        <v>174</v>
      </c>
      <c r="C10" s="125"/>
      <c r="D10" s="125"/>
      <c r="E10" s="125"/>
      <c r="F10" s="125"/>
      <c r="G10" s="125"/>
      <c r="H10" s="125"/>
      <c r="I10" s="125"/>
      <c r="J10" s="499"/>
      <c r="K10" s="499"/>
      <c r="L10" s="499"/>
      <c r="M10" s="499"/>
    </row>
    <row r="11" spans="1:16" ht="37.5" customHeight="1">
      <c r="B11" s="95" t="s">
        <v>72</v>
      </c>
      <c r="C11" s="95" t="s">
        <v>90</v>
      </c>
      <c r="D11" s="95" t="s">
        <v>150</v>
      </c>
      <c r="E11" s="95" t="s">
        <v>91</v>
      </c>
      <c r="F11" s="95" t="s">
        <v>81</v>
      </c>
      <c r="G11" s="95" t="s">
        <v>84</v>
      </c>
      <c r="H11" s="95" t="s">
        <v>82</v>
      </c>
      <c r="I11" s="95" t="s">
        <v>83</v>
      </c>
      <c r="J11" s="95" t="s">
        <v>67</v>
      </c>
      <c r="K11" s="95" t="s">
        <v>74</v>
      </c>
      <c r="L11" s="95" t="s">
        <v>75</v>
      </c>
      <c r="M11" s="176" t="s">
        <v>55</v>
      </c>
    </row>
    <row r="12" spans="1:16" ht="37.5" customHeight="1">
      <c r="B12" s="97" t="s">
        <v>251</v>
      </c>
      <c r="C12" s="98" t="str">
        <f>VLOOKUP(B12,ИСХОДНИК!A:P,5,FALSE())</f>
        <v>SVA-Q 15 D ANG</v>
      </c>
      <c r="D12" s="105" t="str">
        <f>VLOOKUP(B12,ИСХОДНИК!A:P,6,FALSE())</f>
        <v>Угловой</v>
      </c>
      <c r="E12" s="134" t="str">
        <f>VLOOKUP(B12,ИСХОДНИК!A:P,11,FALSE())</f>
        <v>Под сварку встык DIN</v>
      </c>
      <c r="F12" s="105">
        <f>VLOOKUP(B12,ИСХОДНИК!A:P,7,FALSE())</f>
        <v>15</v>
      </c>
      <c r="G12" s="137" t="str">
        <f>VLOOKUP(B12,ИСХОДНИК!A:P,10,FALSE())</f>
        <v>R717, R744 и фреоны</v>
      </c>
      <c r="H12" s="137">
        <f>VLOOKUP(B12,ИСХОДНИК!A:P,8,FALSE())</f>
        <v>52</v>
      </c>
      <c r="I12" s="137" t="str">
        <f>VLOOKUP(B12,ИСХОДНИК!A:P,9,FALSE())</f>
        <v xml:space="preserve"> -60…120</v>
      </c>
      <c r="J12" s="105" t="str">
        <f>VLOOKUP(B12,ИСХОДНИК!A:P,15,FALSE())</f>
        <v>U6 PL40R</v>
      </c>
      <c r="K12" s="139">
        <f>VLOOKUP(B12,ИСХОДНИК!A:P,13,FALSE())</f>
        <v>174000</v>
      </c>
      <c r="L12" s="139">
        <f>VLOOKUP(B12,ИСХОДНИК!A:P,14,FALSE())</f>
        <v>201840</v>
      </c>
      <c r="M12" s="104" t="str">
        <f>IF(VLOOKUP(B12,ИСХОДНИК!$A:$R,18,FALSE())=1,ИСХОДНИК!$T$2,IF(VLOOKUP(B12,ИСХОДНИК!A:R,18,FALSE())=2,ИСХОДНИК!$T$5,IF(VLOOKUP(B12,ИСХОДНИК!A:R,18,FALSE())=3,ИСХОДНИК!$T$6)))</f>
        <v>◑</v>
      </c>
      <c r="O12" s="215"/>
      <c r="P12" s="215"/>
    </row>
    <row r="13" spans="1:16" ht="35.25" customHeight="1">
      <c r="B13" s="97" t="s">
        <v>252</v>
      </c>
      <c r="C13" s="98" t="str">
        <f>VLOOKUP(B13,ИСХОДНИК!A:P,5,FALSE())</f>
        <v>SVA-Q 20 D ANG</v>
      </c>
      <c r="D13" s="105" t="str">
        <f>VLOOKUP(B13,ИСХОДНИК!A:P,6,FALSE())</f>
        <v>Угловой</v>
      </c>
      <c r="E13" s="134" t="str">
        <f>VLOOKUP(B13,ИСХОДНИК!A:P,11,FALSE())</f>
        <v>Под сварку встык DIN</v>
      </c>
      <c r="F13" s="105">
        <f>VLOOKUP(B13,ИСХОДНИК!A:P,7,FALSE())</f>
        <v>20</v>
      </c>
      <c r="G13" s="137" t="str">
        <f>VLOOKUP(B13,ИСХОДНИК!A:P,10,FALSE())</f>
        <v>R717, R744 и фреоны</v>
      </c>
      <c r="H13" s="137">
        <f>VLOOKUP(B13,ИСХОДНИК!A:P,8,FALSE())</f>
        <v>52</v>
      </c>
      <c r="I13" s="137" t="str">
        <f>VLOOKUP(B13,ИСХОДНИК!A:P,9,FALSE())</f>
        <v xml:space="preserve"> -60…120</v>
      </c>
      <c r="J13" s="105" t="str">
        <f>VLOOKUP(B13,ИСХОДНИК!A:P,15,FALSE())</f>
        <v>U6 PL40R</v>
      </c>
      <c r="K13" s="139">
        <f>VLOOKUP(B13,ИСХОДНИК!A:P,13,FALSE())</f>
        <v>189000</v>
      </c>
      <c r="L13" s="139">
        <f>VLOOKUP(B13,ИСХОДНИК!A:P,14,FALSE())</f>
        <v>219239.99999999997</v>
      </c>
      <c r="M13" s="140" t="str">
        <f>IF(VLOOKUP(B13,ИСХОДНИК!$A:$R,18,FALSE())=1,ИСХОДНИК!$T$2,IF(VLOOKUP(B13,ИСХОДНИК!A:R,18,FALSE())=2,ИСХОДНИК!$T$5,IF(VLOOKUP(B13,ИСХОДНИК!A:R,18,FALSE())=3,ИСХОДНИК!$T$6)))</f>
        <v>○</v>
      </c>
      <c r="O13" s="215"/>
    </row>
  </sheetData>
  <autoFilter ref="B11:M11" xr:uid="{00000000-0009-0000-0000-000004000000}"/>
  <mergeCells count="2">
    <mergeCell ref="B3:H3"/>
    <mergeCell ref="J10:M10"/>
  </mergeCells>
  <conditionalFormatting sqref="K12:L12 K13:L13">
    <cfRule type="containsErrors" dxfId="5" priority="2">
      <formula>ISERROR(K12)</formula>
    </cfRule>
  </conditionalFormatting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7"/>
  <sheetViews>
    <sheetView showGridLines="0" topLeftCell="A26" zoomScaleNormal="100" workbookViewId="0">
      <selection activeCell="V64" sqref="V64"/>
    </sheetView>
  </sheetViews>
  <sheetFormatPr defaultColWidth="9.1796875" defaultRowHeight="12.75" customHeight="1"/>
  <cols>
    <col min="1" max="1" width="2.1796875" customWidth="1"/>
    <col min="2" max="2" width="17" style="216" customWidth="1"/>
    <col min="3" max="3" width="15.453125" customWidth="1"/>
    <col min="4" max="4" width="11.7265625" customWidth="1"/>
    <col min="5" max="5" width="25.1796875" customWidth="1"/>
    <col min="7" max="7" width="27.1796875" customWidth="1"/>
    <col min="8" max="8" width="15.453125" customWidth="1"/>
    <col min="9" max="9" width="17.453125" customWidth="1"/>
    <col min="10" max="10" width="13.7265625" customWidth="1"/>
    <col min="11" max="11" width="10.81640625" customWidth="1"/>
    <col min="12" max="12" width="11.1796875" customWidth="1"/>
    <col min="13" max="13" width="6.54296875" customWidth="1"/>
  </cols>
  <sheetData>
    <row r="1" spans="1:13" ht="11.25" customHeight="1"/>
    <row r="2" spans="1:13" ht="41.25" customHeight="1">
      <c r="B2" s="213" t="s">
        <v>253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8"/>
    </row>
    <row r="3" spans="1:13" ht="76.5" customHeight="1">
      <c r="B3" s="491" t="s">
        <v>254</v>
      </c>
      <c r="C3" s="491"/>
      <c r="D3" s="491"/>
      <c r="E3" s="491"/>
      <c r="F3" s="491"/>
      <c r="G3" s="491"/>
      <c r="H3" s="491"/>
      <c r="I3" s="113"/>
      <c r="J3" s="113"/>
      <c r="K3" s="113"/>
      <c r="L3" s="113"/>
      <c r="M3" s="114"/>
    </row>
    <row r="4" spans="1:13" ht="12" customHeight="1">
      <c r="B4" s="76" t="s">
        <v>58</v>
      </c>
      <c r="C4" s="115" t="s">
        <v>59</v>
      </c>
      <c r="D4" s="163"/>
      <c r="E4" s="164"/>
      <c r="F4" s="116"/>
      <c r="G4" s="116"/>
      <c r="H4" s="219"/>
      <c r="I4" s="113"/>
      <c r="J4" s="113"/>
      <c r="K4" s="113"/>
      <c r="L4" s="113"/>
      <c r="M4" s="114"/>
    </row>
    <row r="5" spans="1:13" ht="11.25" customHeight="1">
      <c r="B5" s="78" t="s">
        <v>61</v>
      </c>
      <c r="C5" s="115" t="s">
        <v>62</v>
      </c>
      <c r="D5" s="163"/>
      <c r="E5" s="164"/>
      <c r="F5" s="116"/>
      <c r="G5" s="116"/>
      <c r="H5" s="219"/>
      <c r="I5" s="113"/>
      <c r="J5" s="113"/>
      <c r="K5" s="113"/>
      <c r="L5" s="113"/>
      <c r="M5" s="114"/>
    </row>
    <row r="6" spans="1:13" ht="11.25" customHeight="1">
      <c r="B6" s="80" t="s">
        <v>65</v>
      </c>
      <c r="C6" s="115" t="s">
        <v>66</v>
      </c>
      <c r="D6" s="163"/>
      <c r="E6" s="164"/>
      <c r="F6" s="116"/>
      <c r="G6" s="116"/>
      <c r="H6" s="219"/>
      <c r="I6" s="113"/>
      <c r="J6" s="113"/>
      <c r="K6" s="113"/>
      <c r="L6" s="113"/>
      <c r="M6" s="114"/>
    </row>
    <row r="7" spans="1:13" ht="11.25" customHeight="1">
      <c r="B7" s="80"/>
      <c r="C7" s="115"/>
      <c r="D7" s="163"/>
      <c r="E7" s="164"/>
      <c r="F7" s="116"/>
      <c r="G7" s="116"/>
      <c r="H7" s="219"/>
      <c r="I7" s="113"/>
      <c r="J7" s="113"/>
      <c r="K7" s="113"/>
      <c r="L7" s="113"/>
      <c r="M7" s="114"/>
    </row>
    <row r="8" spans="1:13" ht="15" customHeight="1">
      <c r="B8" s="118"/>
      <c r="C8" s="119"/>
      <c r="D8" s="119"/>
      <c r="E8" s="119"/>
      <c r="F8" s="120"/>
      <c r="G8" s="120"/>
      <c r="H8" s="219"/>
      <c r="I8" s="113"/>
      <c r="J8" s="113"/>
      <c r="K8" s="113"/>
      <c r="L8" s="113"/>
      <c r="M8" s="114"/>
    </row>
    <row r="9" spans="1:13" ht="15" customHeight="1">
      <c r="A9" s="32"/>
      <c r="B9" s="122"/>
      <c r="C9" s="74"/>
      <c r="D9" s="74"/>
      <c r="E9" s="74"/>
      <c r="F9" s="123"/>
      <c r="G9" s="123"/>
      <c r="H9" s="219"/>
      <c r="I9" s="113"/>
      <c r="J9" s="113"/>
      <c r="K9" s="113"/>
      <c r="L9" s="113"/>
      <c r="M9" s="114"/>
    </row>
    <row r="10" spans="1:13" s="220" customFormat="1" ht="22.5" customHeight="1">
      <c r="B10" s="174" t="s">
        <v>255</v>
      </c>
      <c r="C10" s="221"/>
      <c r="D10" s="221"/>
      <c r="E10" s="221"/>
      <c r="F10" s="221"/>
      <c r="G10" s="221"/>
      <c r="H10" s="221"/>
      <c r="I10" s="221"/>
      <c r="J10" s="499"/>
      <c r="K10" s="499"/>
      <c r="L10" s="499"/>
      <c r="M10" s="499"/>
    </row>
    <row r="11" spans="1:13" ht="37.5" customHeight="1">
      <c r="B11" s="95" t="s">
        <v>72</v>
      </c>
      <c r="C11" s="95" t="s">
        <v>90</v>
      </c>
      <c r="D11" s="95" t="s">
        <v>150</v>
      </c>
      <c r="E11" s="95" t="s">
        <v>91</v>
      </c>
      <c r="F11" s="95" t="s">
        <v>81</v>
      </c>
      <c r="G11" s="95" t="s">
        <v>84</v>
      </c>
      <c r="H11" s="95" t="s">
        <v>82</v>
      </c>
      <c r="I11" s="95" t="s">
        <v>83</v>
      </c>
      <c r="J11" s="208" t="s">
        <v>67</v>
      </c>
      <c r="K11" s="95" t="s">
        <v>74</v>
      </c>
      <c r="L11" s="95" t="s">
        <v>75</v>
      </c>
      <c r="M11" s="152" t="s">
        <v>55</v>
      </c>
    </row>
    <row r="12" spans="1:13" ht="22.5" customHeight="1">
      <c r="B12" s="97" t="s">
        <v>256</v>
      </c>
      <c r="C12" s="98" t="str">
        <f>VLOOKUP(B12,ИСХОДНИК!A:P,5,FALSE())</f>
        <v>REG 15 D STR</v>
      </c>
      <c r="D12" s="105" t="s">
        <v>257</v>
      </c>
      <c r="E12" s="134" t="str">
        <f>VLOOKUP(B12,ИСХОДНИК!A:P,11,FALSE())</f>
        <v>Под сварку встык DIN</v>
      </c>
      <c r="F12" s="105">
        <f>VLOOKUP(B12,ИСХОДНИК!A:P,7,FALSE())</f>
        <v>15</v>
      </c>
      <c r="G12" s="137" t="str">
        <f>VLOOKUP(B12,ИСХОДНИК!A:P,10,FALSE())</f>
        <v>R717, R744 и фреоны</v>
      </c>
      <c r="H12" s="137">
        <f>VLOOKUP(B12,ИСХОДНИК!A:P,8,FALSE())</f>
        <v>52</v>
      </c>
      <c r="I12" s="137" t="str">
        <f>VLOOKUP(B12,ИСХОДНИК!A:P,9,FALSE())</f>
        <v xml:space="preserve"> -60…120</v>
      </c>
      <c r="J12" s="105" t="str">
        <f>VLOOKUP(B12,ИСХОДНИК!A:P,15,FALSE())</f>
        <v>U6 PL40R</v>
      </c>
      <c r="K12" s="139">
        <f>VLOOKUP(B12,ИСХОДНИК!A:P,13,FALSE())</f>
        <v>33600</v>
      </c>
      <c r="L12" s="139">
        <f>VLOOKUP(B12,ИСХОДНИК!A:P,14,FALSE())</f>
        <v>38976</v>
      </c>
      <c r="M12" s="104" t="str">
        <f>IF(VLOOKUP(B12,ИСХОДНИК!A:R,18,FALSE())=1,ИСХОДНИК!$T$2,IF(VLOOKUP(B12,ИСХОДНИК!A:R,18,FALSE())=2,ИСХОДНИК!$T$5,IF(VLOOKUP(B12,ИСХОДНИК!A:R,18,FALSE())=3,ИСХОДНИК!$T$6)))</f>
        <v>◑</v>
      </c>
    </row>
    <row r="13" spans="1:13" ht="22.5" customHeight="1">
      <c r="B13" s="97" t="s">
        <v>258</v>
      </c>
      <c r="C13" s="98" t="str">
        <f>VLOOKUP(B13,ИСХОДНИК!A:P,5,FALSE())</f>
        <v>REG 20 D STR</v>
      </c>
      <c r="D13" s="105" t="s">
        <v>257</v>
      </c>
      <c r="E13" s="134" t="str">
        <f>VLOOKUP(B13,ИСХОДНИК!A:P,11,FALSE())</f>
        <v>Под сварку встык DIN</v>
      </c>
      <c r="F13" s="105">
        <f>VLOOKUP(B13,ИСХОДНИК!A:P,7,FALSE())</f>
        <v>20</v>
      </c>
      <c r="G13" s="137" t="str">
        <f>VLOOKUP(B13,ИСХОДНИК!A:P,10,FALSE())</f>
        <v>R717, R744 и фреоны</v>
      </c>
      <c r="H13" s="137">
        <f>VLOOKUP(B13,ИСХОДНИК!A:P,8,FALSE())</f>
        <v>52</v>
      </c>
      <c r="I13" s="137" t="str">
        <f>VLOOKUP(B13,ИСХОДНИК!A:P,9,FALSE())</f>
        <v xml:space="preserve"> -60…120</v>
      </c>
      <c r="J13" s="105" t="str">
        <f>VLOOKUP(B13,ИСХОДНИК!A:P,15,FALSE())</f>
        <v>U6 PL40R</v>
      </c>
      <c r="K13" s="139">
        <f>VLOOKUP(B13,ИСХОДНИК!A:P,13,FALSE())</f>
        <v>38400</v>
      </c>
      <c r="L13" s="139">
        <f>VLOOKUP(B13,ИСХОДНИК!A:P,14,FALSE())</f>
        <v>44544</v>
      </c>
      <c r="M13" s="104" t="str">
        <f>IF(VLOOKUP(B13,ИСХОДНИК!A:R,18,FALSE())=1,ИСХОДНИК!$T$2,IF(VLOOKUP(B13,ИСХОДНИК!A:R,18,FALSE())=2,ИСХОДНИК!$T$5,IF(VLOOKUP(B13,ИСХОДНИК!A:R,18,FALSE())=3,ИСХОДНИК!$T$6)))</f>
        <v>◑</v>
      </c>
    </row>
    <row r="14" spans="1:13" ht="22.5" customHeight="1">
      <c r="B14" s="97" t="s">
        <v>259</v>
      </c>
      <c r="C14" s="98" t="str">
        <f>VLOOKUP(B14,ИСХОДНИК!A:P,5,FALSE())</f>
        <v>REG 25 D STR</v>
      </c>
      <c r="D14" s="105" t="s">
        <v>257</v>
      </c>
      <c r="E14" s="134" t="str">
        <f>VLOOKUP(B14,ИСХОДНИК!A:P,11,FALSE())</f>
        <v>Под сварку встык DIN</v>
      </c>
      <c r="F14" s="105">
        <f>VLOOKUP(B14,ИСХОДНИК!A:P,7,FALSE())</f>
        <v>25</v>
      </c>
      <c r="G14" s="137" t="str">
        <f>VLOOKUP(B14,ИСХОДНИК!A:P,10,FALSE())</f>
        <v>R717, R744 и фреоны</v>
      </c>
      <c r="H14" s="137">
        <f>VLOOKUP(B14,ИСХОДНИК!A:P,8,FALSE())</f>
        <v>52</v>
      </c>
      <c r="I14" s="137" t="str">
        <f>VLOOKUP(B14,ИСХОДНИК!A:P,9,FALSE())</f>
        <v xml:space="preserve"> -60…120</v>
      </c>
      <c r="J14" s="105" t="str">
        <f>VLOOKUP(B14,ИСХОДНИК!A:P,15,FALSE())</f>
        <v>U6 PL40R</v>
      </c>
      <c r="K14" s="139">
        <f>VLOOKUP(B14,ИСХОДНИК!A:P,13,FALSE())</f>
        <v>43200</v>
      </c>
      <c r="L14" s="139">
        <f>VLOOKUP(B14,ИСХОДНИК!A:P,14,FALSE())</f>
        <v>50112</v>
      </c>
      <c r="M14" s="104" t="str">
        <f>IF(VLOOKUP(B14,ИСХОДНИК!A:R,18,FALSE())=1,ИСХОДНИК!$T$2,IF(VLOOKUP(B14,ИСХОДНИК!A:R,18,FALSE())=2,ИСХОДНИК!$T$5,IF(VLOOKUP(B14,ИСХОДНИК!A:R,18,FALSE())=3,ИСХОДНИК!$T$6)))</f>
        <v>◑</v>
      </c>
    </row>
    <row r="15" spans="1:13" ht="22.5" customHeight="1">
      <c r="B15" s="97" t="s">
        <v>260</v>
      </c>
      <c r="C15" s="98" t="str">
        <f>VLOOKUP(B15,ИСХОДНИК!A:P,5,FALSE())</f>
        <v>REG 32 D STR</v>
      </c>
      <c r="D15" s="105" t="s">
        <v>257</v>
      </c>
      <c r="E15" s="134" t="str">
        <f>VLOOKUP(B15,ИСХОДНИК!A:P,11,FALSE())</f>
        <v>Под сварку встык DIN</v>
      </c>
      <c r="F15" s="105">
        <f>VLOOKUP(B15,ИСХОДНИК!A:P,7,FALSE())</f>
        <v>32</v>
      </c>
      <c r="G15" s="137" t="str">
        <f>VLOOKUP(B15,ИСХОДНИК!A:P,10,FALSE())</f>
        <v>R717, R744 и фреоны</v>
      </c>
      <c r="H15" s="137">
        <f>VLOOKUP(B15,ИСХОДНИК!A:P,8,FALSE())</f>
        <v>52</v>
      </c>
      <c r="I15" s="137" t="str">
        <f>VLOOKUP(B15,ИСХОДНИК!A:P,9,FALSE())</f>
        <v xml:space="preserve"> -60…120</v>
      </c>
      <c r="J15" s="105" t="str">
        <f>VLOOKUP(B15,ИСХОДНИК!A:P,15,FALSE())</f>
        <v>U6 PL40R</v>
      </c>
      <c r="K15" s="139">
        <f>VLOOKUP(B15,ИСХОДНИК!A:P,13,FALSE())</f>
        <v>57000</v>
      </c>
      <c r="L15" s="139">
        <f>VLOOKUP(B15,ИСХОДНИК!A:P,14,FALSE())</f>
        <v>66120</v>
      </c>
      <c r="M15" s="104" t="str">
        <f>IF(VLOOKUP(B15,ИСХОДНИК!A:R,18,FALSE())=1,ИСХОДНИК!$T$2,IF(VLOOKUP(B15,ИСХОДНИК!A:R,18,FALSE())=2,ИСХОДНИК!$T$5,IF(VLOOKUP(B15,ИСХОДНИК!A:R,18,FALSE())=3,ИСХОДНИК!$T$6)))</f>
        <v>◑</v>
      </c>
    </row>
    <row r="16" spans="1:13" ht="22.5" customHeight="1">
      <c r="B16" s="97" t="s">
        <v>261</v>
      </c>
      <c r="C16" s="98" t="str">
        <f>VLOOKUP(B16,ИСХОДНИК!A:P,5,FALSE())</f>
        <v>REG 40 D STR</v>
      </c>
      <c r="D16" s="105" t="s">
        <v>257</v>
      </c>
      <c r="E16" s="134" t="str">
        <f>VLOOKUP(B16,ИСХОДНИК!A:P,11,FALSE())</f>
        <v>Под сварку встык DIN</v>
      </c>
      <c r="F16" s="105">
        <f>VLOOKUP(B16,ИСХОДНИК!A:P,7,FALSE())</f>
        <v>40</v>
      </c>
      <c r="G16" s="137" t="str">
        <f>VLOOKUP(B16,ИСХОДНИК!A:P,10,FALSE())</f>
        <v>R717, R744 и фреоны</v>
      </c>
      <c r="H16" s="137">
        <f>VLOOKUP(B16,ИСХОДНИК!A:P,8,FALSE())</f>
        <v>52</v>
      </c>
      <c r="I16" s="137" t="str">
        <f>VLOOKUP(B16,ИСХОДНИК!A:P,9,FALSE())</f>
        <v xml:space="preserve"> -60…120</v>
      </c>
      <c r="J16" s="105" t="str">
        <f>VLOOKUP(B16,ИСХОДНИК!A:P,15,FALSE())</f>
        <v>U6 PL40R</v>
      </c>
      <c r="K16" s="139">
        <f>VLOOKUP(B16,ИСХОДНИК!A:P,13,FALSE())</f>
        <v>75000</v>
      </c>
      <c r="L16" s="139">
        <f>VLOOKUP(B16,ИСХОДНИК!A:P,14,FALSE())</f>
        <v>87000</v>
      </c>
      <c r="M16" s="140" t="str">
        <f>IF(VLOOKUP(B16,ИСХОДНИК!A:R,18,FALSE())=1,ИСХОДНИК!$T$2,IF(VLOOKUP(B16,ИСХОДНИК!A:R,18,FALSE())=2,ИСХОДНИК!$T$5,IF(VLOOKUP(B16,ИСХОДНИК!A:R,18,FALSE())=3,ИСХОДНИК!$T$6)))</f>
        <v>○</v>
      </c>
    </row>
    <row r="17" spans="2:13" ht="22.5" customHeight="1">
      <c r="B17" s="97" t="s">
        <v>262</v>
      </c>
      <c r="C17" s="98" t="str">
        <f>VLOOKUP(B17,ИСХОДНИК!A:P,5,FALSE())</f>
        <v>REG 50 D STR</v>
      </c>
      <c r="D17" s="105" t="s">
        <v>257</v>
      </c>
      <c r="E17" s="134" t="str">
        <f>VLOOKUP(B17,ИСХОДНИК!A:P,11,FALSE())</f>
        <v>Под сварку встык DIN</v>
      </c>
      <c r="F17" s="105">
        <f>VLOOKUP(B17,ИСХОДНИК!A:P,7,FALSE())</f>
        <v>50</v>
      </c>
      <c r="G17" s="137" t="str">
        <f>VLOOKUP(B17,ИСХОДНИК!A:P,10,FALSE())</f>
        <v>R717, R744 и фреоны</v>
      </c>
      <c r="H17" s="137">
        <f>VLOOKUP(B17,ИСХОДНИК!A:P,8,FALSE())</f>
        <v>52</v>
      </c>
      <c r="I17" s="137" t="str">
        <f>VLOOKUP(B17,ИСХОДНИК!A:P,9,FALSE())</f>
        <v xml:space="preserve"> -60…120</v>
      </c>
      <c r="J17" s="105" t="str">
        <f>VLOOKUP(B17,ИСХОДНИК!A:P,15,FALSE())</f>
        <v>U6 PL40R</v>
      </c>
      <c r="K17" s="139">
        <f>VLOOKUP(B17,ИСХОДНИК!A:P,13,FALSE())</f>
        <v>91200</v>
      </c>
      <c r="L17" s="139">
        <f>VLOOKUP(B17,ИСХОДНИК!A:P,14,FALSE())</f>
        <v>105791.99999999999</v>
      </c>
      <c r="M17" s="140" t="str">
        <f>IF(VLOOKUP(B17,ИСХОДНИК!A:R,18,FALSE())=1,ИСХОДНИК!$T$2,IF(VLOOKUP(B17,ИСХОДНИК!A:R,18,FALSE())=2,ИСХОДНИК!$T$5,IF(VLOOKUP(B17,ИСХОДНИК!A:R,18,FALSE())=3,ИСХОДНИК!$T$6)))</f>
        <v>○</v>
      </c>
    </row>
    <row r="18" spans="2:13" ht="22.5" customHeight="1">
      <c r="B18" s="97" t="s">
        <v>263</v>
      </c>
      <c r="C18" s="98" t="str">
        <f>VLOOKUP(B18,ИСХОДНИК!A:P,5,FALSE())</f>
        <v>REG 65 D STR</v>
      </c>
      <c r="D18" s="105" t="s">
        <v>257</v>
      </c>
      <c r="E18" s="134" t="str">
        <f>VLOOKUP(B18,ИСХОДНИК!A:P,11,FALSE())</f>
        <v>Под сварку встык DIN</v>
      </c>
      <c r="F18" s="105">
        <f>VLOOKUP(B18,ИСХОДНИК!A:P,7,FALSE())</f>
        <v>65</v>
      </c>
      <c r="G18" s="137" t="str">
        <f>VLOOKUP(B18,ИСХОДНИК!A:P,10,FALSE())</f>
        <v>R717, R744 и фреоны</v>
      </c>
      <c r="H18" s="137">
        <f>VLOOKUP(B18,ИСХОДНИК!A:P,8,FALSE())</f>
        <v>52</v>
      </c>
      <c r="I18" s="137" t="str">
        <f>VLOOKUP(B18,ИСХОДНИК!A:P,9,FALSE())</f>
        <v xml:space="preserve"> -60…120</v>
      </c>
      <c r="J18" s="105" t="str">
        <f>VLOOKUP(B18,ИСХОДНИК!A:P,15,FALSE())</f>
        <v>U6 PL40R</v>
      </c>
      <c r="K18" s="139">
        <f>VLOOKUP(B18,ИСХОДНИК!A:P,13,FALSE())</f>
        <v>129000</v>
      </c>
      <c r="L18" s="139">
        <f>VLOOKUP(B18,ИСХОДНИК!A:P,14,FALSE())</f>
        <v>149640</v>
      </c>
      <c r="M18" s="140" t="str">
        <f>IF(VLOOKUP(B18,ИСХОДНИК!A:R,18,FALSE())=1,ИСХОДНИК!$T$2,IF(VLOOKUP(B18,ИСХОДНИК!A:R,18,FALSE())=2,ИСХОДНИК!$T$5,IF(VLOOKUP(B18,ИСХОДНИК!A:R,18,FALSE())=3,ИСХОДНИК!$T$6)))</f>
        <v>○</v>
      </c>
    </row>
    <row r="19" spans="2:13" ht="22.5" customHeight="1">
      <c r="B19" s="97" t="s">
        <v>264</v>
      </c>
      <c r="C19" s="98" t="str">
        <f>VLOOKUP(B19,ИСХОДНИК!A:P,5,FALSE())</f>
        <v>REG 80 D STR</v>
      </c>
      <c r="D19" s="105" t="s">
        <v>257</v>
      </c>
      <c r="E19" s="134" t="str">
        <f>VLOOKUP(B19,ИСХОДНИК!A:P,11,FALSE())</f>
        <v>Под сварку встык DIN</v>
      </c>
      <c r="F19" s="105">
        <f>VLOOKUP(B19,ИСХОДНИК!A:P,7,FALSE())</f>
        <v>80</v>
      </c>
      <c r="G19" s="137" t="str">
        <f>VLOOKUP(B19,ИСХОДНИК!A:P,10,FALSE())</f>
        <v>R717, R744 и фреоны</v>
      </c>
      <c r="H19" s="137">
        <f>VLOOKUP(B19,ИСХОДНИК!A:P,8,FALSE())</f>
        <v>52</v>
      </c>
      <c r="I19" s="137" t="str">
        <f>VLOOKUP(B19,ИСХОДНИК!A:P,9,FALSE())</f>
        <v xml:space="preserve"> -60…120</v>
      </c>
      <c r="J19" s="105" t="str">
        <f>VLOOKUP(B19,ИСХОДНИК!A:P,15,FALSE())</f>
        <v>U6 PL40R</v>
      </c>
      <c r="K19" s="139">
        <f>VLOOKUP(B19,ИСХОДНИК!A:P,13,FALSE())</f>
        <v>150000</v>
      </c>
      <c r="L19" s="139">
        <f>VLOOKUP(B19,ИСХОДНИК!A:P,14,FALSE())</f>
        <v>174000</v>
      </c>
      <c r="M19" s="140" t="str">
        <f>IF(VLOOKUP(B19,ИСХОДНИК!A:R,18,FALSE())=1,ИСХОДНИК!$T$2,IF(VLOOKUP(B19,ИСХОДНИК!A:R,18,FALSE())=2,ИСХОДНИК!$T$5,IF(VLOOKUP(B19,ИСХОДНИК!A:R,18,FALSE())=3,ИСХОДНИК!$T$6)))</f>
        <v>○</v>
      </c>
    </row>
    <row r="20" spans="2:13" ht="22.5" customHeight="1">
      <c r="B20" s="222" t="s">
        <v>265</v>
      </c>
      <c r="C20" s="223"/>
      <c r="D20" s="223"/>
      <c r="E20" s="224"/>
      <c r="F20" s="223"/>
      <c r="G20" s="223"/>
      <c r="H20" s="225"/>
      <c r="I20" s="224"/>
      <c r="J20" s="223"/>
      <c r="K20" s="226"/>
      <c r="L20" s="226"/>
      <c r="M20" s="227"/>
    </row>
    <row r="21" spans="2:13" ht="22.5" customHeight="1">
      <c r="B21" s="97" t="s">
        <v>266</v>
      </c>
      <c r="C21" s="98" t="str">
        <f>VLOOKUP(B21,ИСХОДНИК!A:P,5,FALSE())</f>
        <v>REG 15 D ANG</v>
      </c>
      <c r="D21" s="105" t="s">
        <v>267</v>
      </c>
      <c r="E21" s="134" t="str">
        <f>VLOOKUP(B21,ИСХОДНИК!A:P,11,FALSE())</f>
        <v>Под сварку встык DIN</v>
      </c>
      <c r="F21" s="105">
        <f>VLOOKUP(B21,ИСХОДНИК!A:P,7,FALSE())</f>
        <v>15</v>
      </c>
      <c r="G21" s="137" t="str">
        <f>VLOOKUP(B21,ИСХОДНИК!A:P,10,FALSE())</f>
        <v>R717, R744 и фреоны</v>
      </c>
      <c r="H21" s="137">
        <f>VLOOKUP(B21,ИСХОДНИК!A:P,8,FALSE())</f>
        <v>52</v>
      </c>
      <c r="I21" s="137" t="str">
        <f>VLOOKUP(B21,ИСХОДНИК!A:P,9,FALSE())</f>
        <v xml:space="preserve"> -60…120</v>
      </c>
      <c r="J21" s="105" t="str">
        <f>VLOOKUP(B21,ИСХОДНИК!A:P,15,FALSE())</f>
        <v>U6 PL40R</v>
      </c>
      <c r="K21" s="139">
        <f>VLOOKUP(B21,ИСХОДНИК!A:P,13,FALSE())</f>
        <v>33600</v>
      </c>
      <c r="L21" s="139">
        <f>VLOOKUP(B21,ИСХОДНИК!A:P,14,FALSE())</f>
        <v>38976</v>
      </c>
      <c r="M21" s="140" t="str">
        <f>IF(VLOOKUP(B21,ИСХОДНИК!A:R,18,FALSE())=1,ИСХОДНИК!$T$2,IF(VLOOKUP(B21,ИСХОДНИК!A:R,18,FALSE())=2,ИСХОДНИК!$T$5,IF(VLOOKUP(B21,ИСХОДНИК!A:R,18,FALSE())=3,ИСХОДНИК!$T$6)))</f>
        <v>●</v>
      </c>
    </row>
    <row r="22" spans="2:13" ht="22.5" customHeight="1">
      <c r="B22" s="97" t="s">
        <v>268</v>
      </c>
      <c r="C22" s="196" t="str">
        <f>VLOOKUP(B22,ИСХОДНИК!A:P,5,FALSE())</f>
        <v>REG 20 D ANG</v>
      </c>
      <c r="D22" s="105" t="s">
        <v>267</v>
      </c>
      <c r="E22" s="197" t="str">
        <f>VLOOKUP(B22,ИСХОДНИК!A:P,11,FALSE())</f>
        <v>Под сварку встык DIN</v>
      </c>
      <c r="F22" s="182">
        <f>VLOOKUP(B22,ИСХОДНИК!A:P,7,FALSE())</f>
        <v>20</v>
      </c>
      <c r="G22" s="137" t="str">
        <f>VLOOKUP(B22,ИСХОДНИК!A:P,10,FALSE())</f>
        <v>R717, R744 и фреоны</v>
      </c>
      <c r="H22" s="181">
        <f>VLOOKUP(B22,ИСХОДНИК!A:P,8,FALSE())</f>
        <v>52</v>
      </c>
      <c r="I22" s="137" t="str">
        <f>VLOOKUP(B22,ИСХОДНИК!A:P,9,FALSE())</f>
        <v xml:space="preserve"> -60…120</v>
      </c>
      <c r="J22" s="182" t="str">
        <f>VLOOKUP(B22,ИСХОДНИК!A:P,15,FALSE())</f>
        <v>U6 PL40R</v>
      </c>
      <c r="K22" s="139">
        <f>VLOOKUP(B22,ИСХОДНИК!A:P,13,FALSE())</f>
        <v>38400</v>
      </c>
      <c r="L22" s="139">
        <f>VLOOKUP(B22,ИСХОДНИК!A:P,14,FALSE())</f>
        <v>44544</v>
      </c>
      <c r="M22" s="199" t="str">
        <f>IF(VLOOKUP(B22,ИСХОДНИК!A:R,18,FALSE())=1,ИСХОДНИК!$T$2,IF(VLOOKUP(B22,ИСХОДНИК!A:R,18,FALSE())=2,ИСХОДНИК!$T$5,IF(VLOOKUP(B22,ИСХОДНИК!A:R,18,FALSE())=3,ИСХОДНИК!$T$6)))</f>
        <v>◑</v>
      </c>
    </row>
    <row r="23" spans="2:13" ht="22.5" customHeight="1">
      <c r="B23" s="97" t="s">
        <v>269</v>
      </c>
      <c r="C23" s="196" t="str">
        <f>VLOOKUP(B23,ИСХОДНИК!A:P,5,FALSE())</f>
        <v>REG 25 D ANG</v>
      </c>
      <c r="D23" s="105" t="s">
        <v>267</v>
      </c>
      <c r="E23" s="197" t="str">
        <f>VLOOKUP(B23,ИСХОДНИК!A:P,11,FALSE())</f>
        <v>Под сварку встык DIN</v>
      </c>
      <c r="F23" s="182">
        <f>VLOOKUP(B23,ИСХОДНИК!A:P,7,FALSE())</f>
        <v>25</v>
      </c>
      <c r="G23" s="137" t="str">
        <f>VLOOKUP(B23,ИСХОДНИК!A:P,10,FALSE())</f>
        <v>R717, R744 и фреоны</v>
      </c>
      <c r="H23" s="181">
        <f>VLOOKUP(B23,ИСХОДНИК!A:P,8,FALSE())</f>
        <v>52</v>
      </c>
      <c r="I23" s="137" t="str">
        <f>VLOOKUP(B23,ИСХОДНИК!A:P,9,FALSE())</f>
        <v xml:space="preserve"> -60…120</v>
      </c>
      <c r="J23" s="182" t="str">
        <f>VLOOKUP(B23,ИСХОДНИК!A:P,15,FALSE())</f>
        <v>U6 PL40R</v>
      </c>
      <c r="K23" s="139">
        <f>VLOOKUP(B23,ИСХОДНИК!A:P,13,FALSE())</f>
        <v>43200</v>
      </c>
      <c r="L23" s="139">
        <f>VLOOKUP(B23,ИСХОДНИК!A:P,14,FALSE())</f>
        <v>50112</v>
      </c>
      <c r="M23" s="199" t="str">
        <f>IF(VLOOKUP(B23,ИСХОДНИК!A:R,18,FALSE())=1,ИСХОДНИК!$T$2,IF(VLOOKUP(B23,ИСХОДНИК!A:R,18,FALSE())=2,ИСХОДНИК!$T$5,IF(VLOOKUP(B23,ИСХОДНИК!A:R,18,FALSE())=3,ИСХОДНИК!$T$6)))</f>
        <v>◑</v>
      </c>
    </row>
    <row r="24" spans="2:13" ht="22.5" customHeight="1">
      <c r="B24" s="97" t="s">
        <v>270</v>
      </c>
      <c r="C24" s="196" t="str">
        <f>VLOOKUP(B24,ИСХОДНИК!A:P,5,FALSE())</f>
        <v>REG 32 D ANG</v>
      </c>
      <c r="D24" s="105" t="s">
        <v>267</v>
      </c>
      <c r="E24" s="197" t="str">
        <f>VLOOKUP(B24,ИСХОДНИК!A:P,11,FALSE())</f>
        <v>Под сварку встык DIN</v>
      </c>
      <c r="F24" s="182">
        <f>VLOOKUP(B24,ИСХОДНИК!A:P,7,FALSE())</f>
        <v>32</v>
      </c>
      <c r="G24" s="137" t="str">
        <f>VLOOKUP(B24,ИСХОДНИК!A:P,10,FALSE())</f>
        <v>R717, R744 и фреоны</v>
      </c>
      <c r="H24" s="181">
        <f>VLOOKUP(B24,ИСХОДНИК!A:P,8,FALSE())</f>
        <v>52</v>
      </c>
      <c r="I24" s="137" t="str">
        <f>VLOOKUP(B24,ИСХОДНИК!A:P,9,FALSE())</f>
        <v xml:space="preserve"> -60…120</v>
      </c>
      <c r="J24" s="182" t="str">
        <f>VLOOKUP(B24,ИСХОДНИК!A:P,15,FALSE())</f>
        <v>U6 PL40R</v>
      </c>
      <c r="K24" s="139">
        <f>VLOOKUP(B24,ИСХОДНИК!A:P,13,FALSE())</f>
        <v>57000</v>
      </c>
      <c r="L24" s="139">
        <f>VLOOKUP(B24,ИСХОДНИК!A:P,14,FALSE())</f>
        <v>66120</v>
      </c>
      <c r="M24" s="198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13" ht="22.5" customHeight="1">
      <c r="B25" s="97" t="s">
        <v>271</v>
      </c>
      <c r="C25" s="196" t="str">
        <f>VLOOKUP(B25,ИСХОДНИК!A:P,5,FALSE())</f>
        <v>REG 40 D ANG</v>
      </c>
      <c r="D25" s="105" t="s">
        <v>267</v>
      </c>
      <c r="E25" s="197" t="str">
        <f>VLOOKUP(B25,ИСХОДНИК!A:P,11,FALSE())</f>
        <v>Под сварку встык DIN</v>
      </c>
      <c r="F25" s="182">
        <f>VLOOKUP(B25,ИСХОДНИК!A:P,7,FALSE())</f>
        <v>40</v>
      </c>
      <c r="G25" s="137" t="str">
        <f>VLOOKUP(B25,ИСХОДНИК!A:P,10,FALSE())</f>
        <v>R717, R744 и фреоны</v>
      </c>
      <c r="H25" s="181">
        <f>VLOOKUP(B25,ИСХОДНИК!A:P,8,FALSE())</f>
        <v>52</v>
      </c>
      <c r="I25" s="137" t="str">
        <f>VLOOKUP(B25,ИСХОДНИК!A:P,9,FALSE())</f>
        <v xml:space="preserve"> -60…120</v>
      </c>
      <c r="J25" s="182" t="str">
        <f>VLOOKUP(B25,ИСХОДНИК!A:P,15,FALSE())</f>
        <v>U6 PL40R</v>
      </c>
      <c r="K25" s="139">
        <f>VLOOKUP(B25,ИСХОДНИК!A:P,13,FALSE())</f>
        <v>75000</v>
      </c>
      <c r="L25" s="139">
        <f>VLOOKUP(B25,ИСХОДНИК!A:P,14,FALSE())</f>
        <v>87000</v>
      </c>
      <c r="M25" s="199" t="str">
        <f>IF(VLOOKUP(B25,ИСХОДНИК!A:R,18,FALSE())=1,ИСХОДНИК!$T$2,IF(VLOOKUP(B25,ИСХОДНИК!A:R,18,FALSE())=2,ИСХОДНИК!$T$5,IF(VLOOKUP(B25,ИСХОДНИК!A:R,18,FALSE())=3,ИСХОДНИК!$T$6)))</f>
        <v>◑</v>
      </c>
    </row>
    <row r="26" spans="2:13" ht="22.5" customHeight="1">
      <c r="B26" s="97" t="s">
        <v>272</v>
      </c>
      <c r="C26" s="196" t="str">
        <f>VLOOKUP(B26,ИСХОДНИК!A:P,5,FALSE())</f>
        <v>REG 50 D ANG</v>
      </c>
      <c r="D26" s="105" t="s">
        <v>267</v>
      </c>
      <c r="E26" s="197" t="str">
        <f>VLOOKUP(B26,ИСХОДНИК!A:P,11,FALSE())</f>
        <v>Под сварку встык DIN</v>
      </c>
      <c r="F26" s="182">
        <f>VLOOKUP(B26,ИСХОДНИК!A:P,7,FALSE())</f>
        <v>50</v>
      </c>
      <c r="G26" s="137" t="str">
        <f>VLOOKUP(B26,ИСХОДНИК!A:P,10,FALSE())</f>
        <v>R717, R744 и фреоны</v>
      </c>
      <c r="H26" s="181">
        <f>VLOOKUP(B26,ИСХОДНИК!A:P,8,FALSE())</f>
        <v>52</v>
      </c>
      <c r="I26" s="137" t="str">
        <f>VLOOKUP(B26,ИСХОДНИК!A:P,9,FALSE())</f>
        <v xml:space="preserve"> -60…120</v>
      </c>
      <c r="J26" s="182" t="str">
        <f>VLOOKUP(B26,ИСХОДНИК!A:P,15,FALSE())</f>
        <v>U6 PL40R</v>
      </c>
      <c r="K26" s="139">
        <f>VLOOKUP(B26,ИСХОДНИК!A:P,13,FALSE())</f>
        <v>91200</v>
      </c>
      <c r="L26" s="139">
        <f>VLOOKUP(B26,ИСХОДНИК!A:P,14,FALSE())</f>
        <v>105791.99999999999</v>
      </c>
      <c r="M26" s="198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13" ht="22.5" customHeight="1">
      <c r="B27" s="97" t="s">
        <v>273</v>
      </c>
      <c r="C27" s="196" t="str">
        <f>VLOOKUP(B27,ИСХОДНИК!A:P,5,FALSE())</f>
        <v>REG 65 D ANG</v>
      </c>
      <c r="D27" s="105" t="s">
        <v>267</v>
      </c>
      <c r="E27" s="197" t="str">
        <f>VLOOKUP(B27,ИСХОДНИК!A:P,11,FALSE())</f>
        <v>Под сварку встык DIN</v>
      </c>
      <c r="F27" s="182">
        <f>VLOOKUP(B27,ИСХОДНИК!A:P,7,FALSE())</f>
        <v>65</v>
      </c>
      <c r="G27" s="137" t="str">
        <f>VLOOKUP(B27,ИСХОДНИК!A:P,10,FALSE())</f>
        <v>R717, R744 и фреоны</v>
      </c>
      <c r="H27" s="181">
        <f>VLOOKUP(B27,ИСХОДНИК!A:P,8,FALSE())</f>
        <v>52</v>
      </c>
      <c r="I27" s="137" t="str">
        <f>VLOOKUP(B27,ИСХОДНИК!A:P,9,FALSE())</f>
        <v xml:space="preserve"> -60…120</v>
      </c>
      <c r="J27" s="182" t="str">
        <f>VLOOKUP(B27,ИСХОДНИК!A:P,15,FALSE())</f>
        <v>U6 PL40R</v>
      </c>
      <c r="K27" s="139">
        <f>VLOOKUP(B27,ИСХОДНИК!A:P,13,FALSE())</f>
        <v>129000</v>
      </c>
      <c r="L27" s="139">
        <f>VLOOKUP(B27,ИСХОДНИК!A:P,14,FALSE())</f>
        <v>149640</v>
      </c>
      <c r="M27" s="198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13" ht="22.5" customHeight="1">
      <c r="B28" s="97" t="s">
        <v>274</v>
      </c>
      <c r="C28" s="196" t="str">
        <f>VLOOKUP(B28,ИСХОДНИК!A:P,5,FALSE())</f>
        <v>REG 80 D ANG</v>
      </c>
      <c r="D28" s="105" t="s">
        <v>267</v>
      </c>
      <c r="E28" s="197" t="str">
        <f>VLOOKUP(B28,ИСХОДНИК!A:P,11,FALSE())</f>
        <v>Под сварку встык DIN</v>
      </c>
      <c r="F28" s="182">
        <f>VLOOKUP(B28,ИСХОДНИК!A:P,7,FALSE())</f>
        <v>80</v>
      </c>
      <c r="G28" s="137" t="str">
        <f>VLOOKUP(B28,ИСХОДНИК!A:P,10,FALSE())</f>
        <v>R717, R744 и фреоны</v>
      </c>
      <c r="H28" s="181">
        <f>VLOOKUP(B28,ИСХОДНИК!A:P,8,FALSE())</f>
        <v>52</v>
      </c>
      <c r="I28" s="137" t="str">
        <f>VLOOKUP(B28,ИСХОДНИК!A:P,9,FALSE())</f>
        <v xml:space="preserve"> -60…120</v>
      </c>
      <c r="J28" s="182" t="str">
        <f>VLOOKUP(B28,ИСХОДНИК!A:P,15,FALSE())</f>
        <v>U6 PL40R</v>
      </c>
      <c r="K28" s="139">
        <f>VLOOKUP(B28,ИСХОДНИК!A:P,13,FALSE())</f>
        <v>150000</v>
      </c>
      <c r="L28" s="139">
        <f>VLOOKUP(B28,ИСХОДНИК!A:P,14,FALSE())</f>
        <v>174000</v>
      </c>
      <c r="M28" s="198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30" spans="2:13" ht="13.5">
      <c r="B30" s="505" t="s">
        <v>199</v>
      </c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</row>
    <row r="31" spans="2:13" ht="13.5">
      <c r="B31" s="228"/>
      <c r="C31" s="203"/>
      <c r="D31" s="203"/>
      <c r="E31" s="201"/>
      <c r="F31" s="203"/>
      <c r="G31" s="202"/>
      <c r="H31" s="201"/>
      <c r="I31" s="202"/>
      <c r="J31" s="201"/>
      <c r="K31" s="203"/>
      <c r="L31" s="203"/>
      <c r="M31" s="202"/>
    </row>
    <row r="32" spans="2:13" ht="13.5">
      <c r="B32" s="229"/>
      <c r="C32" s="28"/>
      <c r="D32" s="230"/>
      <c r="E32" s="231"/>
      <c r="F32" s="230"/>
      <c r="G32" s="232"/>
      <c r="H32" s="231"/>
      <c r="I32" s="232"/>
      <c r="J32" s="509"/>
      <c r="K32" s="509"/>
      <c r="L32" s="509"/>
      <c r="M32" s="509"/>
    </row>
    <row r="33" spans="2:13" ht="13.5">
      <c r="B33" s="229"/>
      <c r="C33" s="28"/>
      <c r="D33" s="230"/>
      <c r="E33" s="231"/>
      <c r="F33" s="230"/>
      <c r="G33" s="232"/>
      <c r="H33" s="231"/>
      <c r="I33" s="232"/>
      <c r="J33" s="509"/>
      <c r="K33" s="509"/>
      <c r="L33" s="509"/>
      <c r="M33" s="509"/>
    </row>
    <row r="34" spans="2:13" ht="13.5">
      <c r="B34" s="229"/>
      <c r="C34" s="28"/>
      <c r="D34" s="230"/>
      <c r="E34" s="231"/>
      <c r="F34" s="230"/>
      <c r="G34" s="232"/>
      <c r="H34" s="231"/>
      <c r="I34" s="232"/>
      <c r="J34" s="509"/>
      <c r="K34" s="509"/>
      <c r="L34" s="509"/>
      <c r="M34" s="509"/>
    </row>
    <row r="35" spans="2:13" ht="13.5">
      <c r="B35" s="229"/>
      <c r="C35" s="28"/>
      <c r="D35" s="230"/>
      <c r="E35" s="231"/>
      <c r="F35" s="230"/>
      <c r="G35" s="232"/>
      <c r="H35" s="231"/>
      <c r="I35" s="232"/>
      <c r="J35" s="509"/>
      <c r="K35" s="509"/>
      <c r="L35" s="509"/>
      <c r="M35" s="509"/>
    </row>
    <row r="36" spans="2:13" ht="13.5">
      <c r="B36" s="229"/>
      <c r="C36" s="28"/>
      <c r="D36" s="230"/>
      <c r="E36" s="231"/>
      <c r="F36" s="230"/>
      <c r="G36" s="232"/>
      <c r="H36" s="231"/>
      <c r="I36" s="232"/>
      <c r="J36" s="509"/>
      <c r="K36" s="509"/>
      <c r="L36" s="509"/>
      <c r="M36" s="509"/>
    </row>
    <row r="37" spans="2:13" ht="13.5">
      <c r="B37" s="229"/>
      <c r="C37" s="28"/>
      <c r="D37" s="230"/>
      <c r="E37" s="231"/>
      <c r="F37" s="230"/>
      <c r="G37" s="232"/>
      <c r="H37" s="231"/>
      <c r="I37" s="232"/>
      <c r="J37" s="509"/>
      <c r="K37" s="509"/>
      <c r="L37" s="509"/>
      <c r="M37" s="509"/>
    </row>
    <row r="38" spans="2:13" ht="13.5">
      <c r="B38" s="229"/>
      <c r="C38" s="28"/>
      <c r="D38" s="230"/>
      <c r="E38" s="231"/>
      <c r="F38" s="230"/>
      <c r="G38" s="232"/>
      <c r="H38" s="231"/>
      <c r="I38" s="232"/>
      <c r="J38" s="509"/>
      <c r="K38" s="509"/>
      <c r="L38" s="509"/>
      <c r="M38" s="509"/>
    </row>
    <row r="39" spans="2:13" ht="13.5">
      <c r="B39" s="229"/>
      <c r="C39" s="28"/>
      <c r="D39" s="230"/>
      <c r="E39" s="231"/>
      <c r="F39" s="230"/>
      <c r="G39" s="232"/>
      <c r="H39" s="231"/>
      <c r="I39" s="232"/>
      <c r="J39" s="509"/>
      <c r="K39" s="509"/>
      <c r="L39" s="509"/>
      <c r="M39" s="509"/>
    </row>
    <row r="40" spans="2:13" ht="13.5">
      <c r="B40" s="229"/>
      <c r="C40" s="28"/>
      <c r="D40" s="230"/>
      <c r="E40" s="231"/>
      <c r="F40" s="230"/>
      <c r="G40" s="232"/>
      <c r="H40" s="231"/>
      <c r="I40" s="232"/>
      <c r="J40" s="509"/>
      <c r="K40" s="509"/>
      <c r="L40" s="509"/>
      <c r="M40" s="509"/>
    </row>
    <row r="41" spans="2:13" ht="13.5">
      <c r="B41" s="229"/>
      <c r="C41" s="28"/>
      <c r="D41" s="230"/>
      <c r="E41" s="231"/>
      <c r="F41" s="230"/>
      <c r="G41" s="232"/>
      <c r="H41" s="231"/>
      <c r="I41" s="232"/>
      <c r="J41" s="509"/>
      <c r="K41" s="509"/>
      <c r="L41" s="509"/>
      <c r="M41" s="509"/>
    </row>
    <row r="42" spans="2:13" ht="13.5">
      <c r="B42" s="229"/>
      <c r="C42" s="28"/>
      <c r="D42" s="230"/>
      <c r="E42" s="231"/>
      <c r="F42" s="230"/>
      <c r="G42" s="232"/>
      <c r="H42" s="231"/>
      <c r="I42" s="232"/>
      <c r="J42" s="509"/>
      <c r="K42" s="509"/>
      <c r="L42" s="509"/>
      <c r="M42" s="509"/>
    </row>
    <row r="43" spans="2:13" ht="13.5">
      <c r="B43" s="229"/>
      <c r="C43" s="28"/>
      <c r="D43" s="230"/>
      <c r="E43" s="231"/>
      <c r="F43" s="230"/>
      <c r="G43" s="232"/>
      <c r="H43" s="231"/>
      <c r="I43" s="232"/>
      <c r="J43" s="509"/>
      <c r="K43" s="509"/>
      <c r="L43" s="509"/>
      <c r="M43" s="509"/>
    </row>
    <row r="44" spans="2:13" ht="13.5">
      <c r="B44" s="229"/>
      <c r="C44" s="28"/>
      <c r="D44" s="230"/>
      <c r="E44" s="231"/>
      <c r="F44" s="230"/>
      <c r="G44" s="232"/>
      <c r="H44" s="231"/>
      <c r="I44" s="232"/>
      <c r="J44" s="509"/>
      <c r="K44" s="509"/>
      <c r="L44" s="509"/>
      <c r="M44" s="509"/>
    </row>
    <row r="45" spans="2:13" ht="13.5">
      <c r="B45" s="234"/>
      <c r="C45" s="207"/>
      <c r="D45" s="207"/>
      <c r="E45" s="205"/>
      <c r="F45" s="207"/>
      <c r="G45" s="235"/>
      <c r="H45" s="236"/>
      <c r="I45" s="235"/>
      <c r="J45" s="509"/>
      <c r="K45" s="509"/>
      <c r="L45" s="509"/>
      <c r="M45" s="509"/>
    </row>
    <row r="46" spans="2:13" ht="35" customHeight="1">
      <c r="B46" s="94" t="s">
        <v>200</v>
      </c>
      <c r="C46" s="510" t="s">
        <v>2</v>
      </c>
      <c r="D46" s="510"/>
      <c r="E46" s="510"/>
      <c r="F46" s="510"/>
      <c r="G46" s="510"/>
      <c r="H46" s="510"/>
      <c r="I46" s="237" t="s">
        <v>201</v>
      </c>
      <c r="J46" s="94" t="s">
        <v>67</v>
      </c>
      <c r="K46" s="95" t="s">
        <v>74</v>
      </c>
      <c r="L46" s="95" t="s">
        <v>75</v>
      </c>
      <c r="M46" s="133" t="s">
        <v>55</v>
      </c>
    </row>
    <row r="47" spans="2:13" ht="18" customHeight="1">
      <c r="B47" s="97" t="s">
        <v>202</v>
      </c>
      <c r="C47" s="495" t="str">
        <f>VLOOKUP(B47,ИСХОДНИК!A:P,3,FALSE())</f>
        <v>Универсальная прокладка DN 15-25. Мультипак 10 шт.</v>
      </c>
      <c r="D47" s="495"/>
      <c r="E47" s="495"/>
      <c r="F47" s="495"/>
      <c r="G47" s="495"/>
      <c r="H47" s="495"/>
      <c r="I47" s="105">
        <v>7</v>
      </c>
      <c r="J47" s="105" t="str">
        <f>VLOOKUP(B47,ИСХОДНИК!A:P,15,FALSE())</f>
        <v>U6 PL40R</v>
      </c>
      <c r="K47" s="139">
        <f>VLOOKUP(B47,ИСХОДНИК!A:P,13,FALSE())</f>
        <v>7200</v>
      </c>
      <c r="L47" s="139">
        <f>VLOOKUP(B47,ИСХОДНИК!A:P,14,FALSE())</f>
        <v>8352</v>
      </c>
      <c r="M47" s="104" t="str">
        <f>VLOOKUP(B47,ИСХОДНИК!A:Q,17,FALSE())</f>
        <v>◑</v>
      </c>
    </row>
    <row r="48" spans="2:13" ht="18" customHeight="1">
      <c r="B48" s="97" t="s">
        <v>203</v>
      </c>
      <c r="C48" s="495" t="str">
        <f>VLOOKUP(B48,ИСХОДНИК!A:P,3,FALSE())</f>
        <v>Универсальная прокладка DN 32-40. Мультипак 10 шт.</v>
      </c>
      <c r="D48" s="495"/>
      <c r="E48" s="495"/>
      <c r="F48" s="495"/>
      <c r="G48" s="495"/>
      <c r="H48" s="495"/>
      <c r="I48" s="105">
        <v>7</v>
      </c>
      <c r="J48" s="105" t="str">
        <f>VLOOKUP(B48,ИСХОДНИК!A:P,15,FALSE())</f>
        <v>U6 PL40R</v>
      </c>
      <c r="K48" s="139">
        <f>VLOOKUP(B48,ИСХОДНИК!A:P,13,FALSE())</f>
        <v>9000</v>
      </c>
      <c r="L48" s="139">
        <f>VLOOKUP(B48,ИСХОДНИК!A:P,14,FALSE())</f>
        <v>10440</v>
      </c>
      <c r="M48" s="104" t="str">
        <f>VLOOKUP(B48,ИСХОДНИК!A:Q,17,FALSE())</f>
        <v>◑</v>
      </c>
    </row>
    <row r="49" spans="1:14" ht="18" customHeight="1">
      <c r="B49" s="97" t="s">
        <v>204</v>
      </c>
      <c r="C49" s="495" t="str">
        <f>VLOOKUP(B49,ИСХОДНИК!A:P,3,FALSE())</f>
        <v>Универсальная прокладка DN 50. Мультипак 10 шт.</v>
      </c>
      <c r="D49" s="495"/>
      <c r="E49" s="495"/>
      <c r="F49" s="495"/>
      <c r="G49" s="495"/>
      <c r="H49" s="495"/>
      <c r="I49" s="105">
        <v>7</v>
      </c>
      <c r="J49" s="105" t="str">
        <f>VLOOKUP(B49,ИСХОДНИК!A:P,15,FALSE())</f>
        <v>U6 PL40R</v>
      </c>
      <c r="K49" s="139">
        <f>VLOOKUP(B49,ИСХОДНИК!A:P,13,FALSE())</f>
        <v>14400</v>
      </c>
      <c r="L49" s="139">
        <f>VLOOKUP(B49,ИСХОДНИК!A:P,14,FALSE())</f>
        <v>16704</v>
      </c>
      <c r="M49" s="104" t="str">
        <f>VLOOKUP(B49,ИСХОДНИК!A:Q,17,FALSE())</f>
        <v>◑</v>
      </c>
    </row>
    <row r="50" spans="1:14" ht="18" customHeight="1">
      <c r="B50" s="97" t="s">
        <v>205</v>
      </c>
      <c r="C50" s="495" t="str">
        <f>VLOOKUP(B50,ИСХОДНИК!A:P,3,FALSE())</f>
        <v>Универсальная прокладка DN 65. Мультипак 10 шт.</v>
      </c>
      <c r="D50" s="495"/>
      <c r="E50" s="495"/>
      <c r="F50" s="495"/>
      <c r="G50" s="495"/>
      <c r="H50" s="495"/>
      <c r="I50" s="105">
        <v>7</v>
      </c>
      <c r="J50" s="105" t="str">
        <f>VLOOKUP(B50,ИСХОДНИК!A:P,15,FALSE())</f>
        <v>U6 PL40R</v>
      </c>
      <c r="K50" s="139">
        <f>VLOOKUP(B50,ИСХОДНИК!A:P,13,FALSE())</f>
        <v>18000</v>
      </c>
      <c r="L50" s="139">
        <f>VLOOKUP(B50,ИСХОДНИК!A:P,14,FALSE())</f>
        <v>20880</v>
      </c>
      <c r="M50" s="104" t="str">
        <f>VLOOKUP(B50,ИСХОДНИК!A:Q,17,FALSE())</f>
        <v>◑</v>
      </c>
    </row>
    <row r="51" spans="1:14" ht="18" customHeight="1">
      <c r="B51" s="97" t="s">
        <v>206</v>
      </c>
      <c r="C51" s="495" t="str">
        <f>VLOOKUP(B51,ИСХОДНИК!A:P,3,FALSE())</f>
        <v>Универсальная прокладка DN 80. Мультипак 10 шт.</v>
      </c>
      <c r="D51" s="495"/>
      <c r="E51" s="495"/>
      <c r="F51" s="495"/>
      <c r="G51" s="495"/>
      <c r="H51" s="495"/>
      <c r="I51" s="105">
        <v>7</v>
      </c>
      <c r="J51" s="105" t="str">
        <f>VLOOKUP(B51,ИСХОДНИК!A:P,15,FALSE())</f>
        <v>U6 PL40R</v>
      </c>
      <c r="K51" s="139">
        <f>VLOOKUP(B51,ИСХОДНИК!A:P,13,FALSE())</f>
        <v>27000</v>
      </c>
      <c r="L51" s="139">
        <f>VLOOKUP(B51,ИСХОДНИК!A:P,14,FALSE())</f>
        <v>31319.999999999996</v>
      </c>
      <c r="M51" s="104" t="str">
        <f>VLOOKUP(B51,ИСХОДНИК!A:Q,17,FALSE())</f>
        <v>◑</v>
      </c>
    </row>
    <row r="52" spans="1:14" s="15" customFormat="1" ht="18" customHeight="1">
      <c r="B52" s="511"/>
      <c r="C52" s="511"/>
      <c r="D52" s="511"/>
      <c r="E52" s="511"/>
      <c r="F52" s="511"/>
      <c r="G52" s="511"/>
      <c r="H52" s="511"/>
      <c r="I52" s="511"/>
      <c r="J52" s="511"/>
      <c r="K52" s="511"/>
      <c r="L52" s="511"/>
      <c r="M52" s="511"/>
    </row>
    <row r="53" spans="1:14" ht="18" customHeight="1">
      <c r="B53" s="97" t="s">
        <v>213</v>
      </c>
      <c r="C53" s="495" t="str">
        <f>VLOOKUP(B53,ИСХОДНИК!A:P,3,FALSE())</f>
        <v>Комплект сальникового уплотнения DN 15-25.  Мультипак: 10 комплектов.</v>
      </c>
      <c r="D53" s="495"/>
      <c r="E53" s="495"/>
      <c r="F53" s="495"/>
      <c r="G53" s="495"/>
      <c r="H53" s="495"/>
      <c r="I53" s="200" t="s">
        <v>214</v>
      </c>
      <c r="J53" s="105" t="str">
        <f>VLOOKUP(B53,ИСХОДНИК!A:P,15,FALSE())</f>
        <v>U6 PL40R</v>
      </c>
      <c r="K53" s="139">
        <f>VLOOKUP(B53,ИСХОДНИК!A:P,13,FALSE())</f>
        <v>90000</v>
      </c>
      <c r="L53" s="139">
        <f>VLOOKUP(B53,ИСХОДНИК!A:P,14,FALSE())</f>
        <v>104400</v>
      </c>
      <c r="M53" s="104" t="str">
        <f>VLOOKUP(B53,ИСХОДНИК!A:Q,17,FALSE())</f>
        <v>◑</v>
      </c>
    </row>
    <row r="54" spans="1:14" ht="18" customHeight="1">
      <c r="B54" s="97" t="s">
        <v>215</v>
      </c>
      <c r="C54" s="495" t="str">
        <f>VLOOKUP(B54,ИСХОДНИК!A:P,3,FALSE())</f>
        <v>Комплект сальникового уплотнения DN 32-50. Мультипак: 10 комплектов.</v>
      </c>
      <c r="D54" s="495"/>
      <c r="E54" s="495"/>
      <c r="F54" s="495"/>
      <c r="G54" s="495"/>
      <c r="H54" s="495"/>
      <c r="I54" s="200" t="s">
        <v>214</v>
      </c>
      <c r="J54" s="105" t="str">
        <f>VLOOKUP(B54,ИСХОДНИК!A:P,15,FALSE())</f>
        <v>U6 PL40R</v>
      </c>
      <c r="K54" s="139">
        <f>VLOOKUP(B54,ИСХОДНИК!A:P,13,FALSE())</f>
        <v>153000</v>
      </c>
      <c r="L54" s="139">
        <f>VLOOKUP(B54,ИСХОДНИК!A:P,14,FALSE())</f>
        <v>177480</v>
      </c>
      <c r="M54" s="104" t="str">
        <f>VLOOKUP(B54,ИСХОДНИК!A:Q,17,FALSE())</f>
        <v>◑</v>
      </c>
    </row>
    <row r="55" spans="1:14" ht="18" customHeight="1">
      <c r="B55" s="97" t="s">
        <v>216</v>
      </c>
      <c r="C55" s="495" t="str">
        <f>VLOOKUP(B55,ИСХОДНИК!A:P,3,FALSE())</f>
        <v>Комплект сальникового уплотнения DN 65. Мультипак: 10 комплектов.</v>
      </c>
      <c r="D55" s="495"/>
      <c r="E55" s="495"/>
      <c r="F55" s="495"/>
      <c r="G55" s="495"/>
      <c r="H55" s="495"/>
      <c r="I55" s="200" t="s">
        <v>214</v>
      </c>
      <c r="J55" s="105" t="str">
        <f>VLOOKUP(B55,ИСХОДНИК!A:P,15,FALSE())</f>
        <v>U6 PL40R</v>
      </c>
      <c r="K55" s="139">
        <f>VLOOKUP(B55,ИСХОДНИК!A:P,13,FALSE())</f>
        <v>299400</v>
      </c>
      <c r="L55" s="139">
        <f>VLOOKUP(B55,ИСХОДНИК!A:P,14,FALSE())</f>
        <v>347304</v>
      </c>
      <c r="M55" s="104" t="str">
        <f>VLOOKUP(B55,ИСХОДНИК!A:Q,17,FALSE())</f>
        <v>◑</v>
      </c>
    </row>
    <row r="56" spans="1:14" ht="18" customHeight="1">
      <c r="B56" s="97" t="s">
        <v>217</v>
      </c>
      <c r="C56" s="495" t="str">
        <f>VLOOKUP(B56,ИСХОДНИК!A:P,3,FALSE())</f>
        <v>Комплект сальникового уплотнения DN 80.  Мультипак: 10 комплектов.</v>
      </c>
      <c r="D56" s="495"/>
      <c r="E56" s="495"/>
      <c r="F56" s="495"/>
      <c r="G56" s="495"/>
      <c r="H56" s="495"/>
      <c r="I56" s="200" t="s">
        <v>214</v>
      </c>
      <c r="J56" s="105" t="str">
        <f>VLOOKUP(B56,ИСХОДНИК!A:P,15,FALSE())</f>
        <v>U6 PL40R</v>
      </c>
      <c r="K56" s="139">
        <f>VLOOKUP(B56,ИСХОДНИК!A:P,13,FALSE())</f>
        <v>348000</v>
      </c>
      <c r="L56" s="139">
        <f>VLOOKUP(B56,ИСХОДНИК!A:P,14,FALSE())</f>
        <v>403680</v>
      </c>
      <c r="M56" s="104" t="str">
        <f>VLOOKUP(B56,ИСХОДНИК!A:Q,17,FALSE())</f>
        <v>◑</v>
      </c>
    </row>
    <row r="57" spans="1:14" ht="18" customHeight="1">
      <c r="A57" s="15"/>
      <c r="B57" s="238"/>
      <c r="C57" s="239"/>
      <c r="D57" s="240"/>
      <c r="E57" s="240"/>
      <c r="F57" s="240"/>
      <c r="G57" s="240"/>
      <c r="H57" s="240"/>
      <c r="I57" s="28"/>
      <c r="J57" s="223"/>
      <c r="K57" s="241"/>
      <c r="L57" s="241"/>
      <c r="M57" s="223"/>
      <c r="N57" s="15"/>
    </row>
    <row r="58" spans="1:14" ht="18" customHeight="1">
      <c r="B58" s="97" t="s">
        <v>233</v>
      </c>
      <c r="C58" s="495" t="str">
        <f>VLOOKUP(B58,ИСХОДНИК!A:P,3,FALSE())</f>
        <v>Колпачок с прокладкой для SVA, SCA, REG (DN 15-25).</v>
      </c>
      <c r="D58" s="495"/>
      <c r="E58" s="495"/>
      <c r="F58" s="495"/>
      <c r="G58" s="495"/>
      <c r="H58" s="495"/>
      <c r="I58" s="200">
        <v>14</v>
      </c>
      <c r="J58" s="105" t="str">
        <f>VLOOKUP(B58,ИСХОДНИК!A:P,15,FALSE())</f>
        <v>U6 PL40R</v>
      </c>
      <c r="K58" s="139">
        <f>VLOOKUP(B58,ИСХОДНИК!A:P,13,FALSE())</f>
        <v>6600</v>
      </c>
      <c r="L58" s="139">
        <f>VLOOKUP(B58,ИСХОДНИК!A:P,14,FALSE())</f>
        <v>7655.9999999999991</v>
      </c>
      <c r="M58" s="104" t="str">
        <f>VLOOKUP(B58,ИСХОДНИК!A:Q,17,FALSE())</f>
        <v>◑</v>
      </c>
    </row>
    <row r="59" spans="1:14" ht="18" customHeight="1">
      <c r="B59" s="97" t="s">
        <v>234</v>
      </c>
      <c r="C59" s="495" t="str">
        <f>VLOOKUP(B59,ИСХОДНИК!A:P,3,FALSE())</f>
        <v xml:space="preserve">Колпачок с прокладкой для SVA, SCA, REG (DN 32-50). </v>
      </c>
      <c r="D59" s="495"/>
      <c r="E59" s="495"/>
      <c r="F59" s="495"/>
      <c r="G59" s="495"/>
      <c r="H59" s="495"/>
      <c r="I59" s="200">
        <v>14</v>
      </c>
      <c r="J59" s="105" t="str">
        <f>VLOOKUP(B59,ИСХОДНИК!A:P,15,FALSE())</f>
        <v>U6 PL40R</v>
      </c>
      <c r="K59" s="139">
        <f>VLOOKUP(B59,ИСХОДНИК!A:P,13,FALSE())</f>
        <v>11400</v>
      </c>
      <c r="L59" s="139">
        <f>VLOOKUP(B59,ИСХОДНИК!A:P,14,FALSE())</f>
        <v>13223.999999999998</v>
      </c>
      <c r="M59" s="104" t="str">
        <f>VLOOKUP(B59,ИСХОДНИК!A:Q,17,FALSE())</f>
        <v>◑</v>
      </c>
    </row>
    <row r="60" spans="1:14" ht="18" customHeight="1">
      <c r="B60" s="97" t="s">
        <v>235</v>
      </c>
      <c r="C60" s="495" t="str">
        <f>VLOOKUP(B60,ИСХОДНИК!A:P,3,FALSE())</f>
        <v>Колпачок с прокладкой для SVA, SCA, REG (DN 65)</v>
      </c>
      <c r="D60" s="495"/>
      <c r="E60" s="495"/>
      <c r="F60" s="495"/>
      <c r="G60" s="495"/>
      <c r="H60" s="495"/>
      <c r="I60" s="200">
        <v>14</v>
      </c>
      <c r="J60" s="105" t="str">
        <f>VLOOKUP(B60,ИСХОДНИК!A:P,15,FALSE())</f>
        <v>U6 PL40R</v>
      </c>
      <c r="K60" s="139">
        <f>VLOOKUP(B60,ИСХОДНИК!A:P,13,FALSE())</f>
        <v>12600</v>
      </c>
      <c r="L60" s="139">
        <f>VLOOKUP(B60,ИСХОДНИК!A:P,14,FALSE())</f>
        <v>14615.999999999998</v>
      </c>
      <c r="M60" s="104" t="str">
        <f>VLOOKUP(B60,ИСХОДНИК!A:Q,17,FALSE())</f>
        <v>◑</v>
      </c>
    </row>
    <row r="61" spans="1:14" ht="18" customHeight="1">
      <c r="B61" s="97" t="s">
        <v>236</v>
      </c>
      <c r="C61" s="495" t="str">
        <f>VLOOKUP(B61,ИСХОДНИК!A:P,3,FALSE())</f>
        <v>Колпачок с прокладкой для SVA, SCA (DN 80-100)</v>
      </c>
      <c r="D61" s="495"/>
      <c r="E61" s="495"/>
      <c r="F61" s="495"/>
      <c r="G61" s="495"/>
      <c r="H61" s="495"/>
      <c r="I61" s="200">
        <v>14</v>
      </c>
      <c r="J61" s="105" t="str">
        <f>VLOOKUP(B61,ИСХОДНИК!A:P,15,FALSE())</f>
        <v>U6 PL40R</v>
      </c>
      <c r="K61" s="139">
        <f>VLOOKUP(B61,ИСХОДНИК!A:P,13,FALSE())</f>
        <v>19800</v>
      </c>
      <c r="L61" s="139">
        <f>VLOOKUP(B61,ИСХОДНИК!A:P,14,FALSE())</f>
        <v>22968</v>
      </c>
      <c r="M61" s="104" t="str">
        <f>VLOOKUP(B61,ИСХОДНИК!A:Q,17,FALSE())</f>
        <v>◑</v>
      </c>
    </row>
    <row r="62" spans="1:14" s="15" customFormat="1" ht="18" customHeight="1">
      <c r="B62" s="238"/>
      <c r="C62" s="240"/>
      <c r="D62" s="240"/>
      <c r="E62" s="240"/>
      <c r="F62" s="240"/>
      <c r="G62" s="240"/>
      <c r="H62" s="240"/>
      <c r="I62" s="28"/>
      <c r="J62" s="223"/>
      <c r="K62" s="241"/>
      <c r="L62" s="241"/>
      <c r="M62" s="223"/>
    </row>
    <row r="63" spans="1:14" ht="18" customHeight="1">
      <c r="B63" s="97" t="s">
        <v>239</v>
      </c>
      <c r="C63" s="495" t="str">
        <f>VLOOKUP(B63,ИСХОДНИК!A:P,3,FALSE())</f>
        <v>Маховик (60 мм) для клапанов SVA, REG, SCA DN 15-25</v>
      </c>
      <c r="D63" s="495"/>
      <c r="E63" s="495"/>
      <c r="F63" s="495"/>
      <c r="G63" s="495"/>
      <c r="H63" s="495"/>
      <c r="I63" s="105">
        <v>15</v>
      </c>
      <c r="J63" s="105" t="str">
        <f>VLOOKUP(B63,ИСХОДНИК!A:P,15,FALSE())</f>
        <v>U6 PL40R</v>
      </c>
      <c r="K63" s="139">
        <f>VLOOKUP(B63,ИСХОДНИК!A:P,13,FALSE())</f>
        <v>17400</v>
      </c>
      <c r="L63" s="139">
        <f>VLOOKUP(B63,ИСХОДНИК!A:P,14,FALSE())</f>
        <v>20184</v>
      </c>
      <c r="M63" s="104" t="str">
        <f>VLOOKUP(B63,ИСХОДНИК!A:Q,17,FALSE())</f>
        <v>◑</v>
      </c>
    </row>
    <row r="64" spans="1:14" ht="18" customHeight="1">
      <c r="B64" s="97" t="s">
        <v>240</v>
      </c>
      <c r="C64" s="495" t="str">
        <f>VLOOKUP(B64,ИСХОДНИК!A:P,3,FALSE())</f>
        <v>Маховик (80 мм) для клапанов SVA, REG, SCA DN 32-40</v>
      </c>
      <c r="D64" s="495"/>
      <c r="E64" s="495"/>
      <c r="F64" s="495"/>
      <c r="G64" s="495"/>
      <c r="H64" s="495"/>
      <c r="I64" s="105">
        <v>15</v>
      </c>
      <c r="J64" s="105" t="str">
        <f>VLOOKUP(B64,ИСХОДНИК!A:P,15,FALSE())</f>
        <v>U6 PL40R</v>
      </c>
      <c r="K64" s="139">
        <f>VLOOKUP(B64,ИСХОДНИК!A:P,13,FALSE())</f>
        <v>23400</v>
      </c>
      <c r="L64" s="139">
        <f>VLOOKUP(B64,ИСХОДНИК!A:P,14,FALSE())</f>
        <v>27143.999999999996</v>
      </c>
      <c r="M64" s="104" t="str">
        <f>VLOOKUP(B64,ИСХОДНИК!A:Q,17,FALSE())</f>
        <v>◑</v>
      </c>
    </row>
    <row r="65" spans="2:13" ht="18" customHeight="1">
      <c r="B65" s="97" t="s">
        <v>241</v>
      </c>
      <c r="C65" s="495" t="str">
        <f>VLOOKUP(B65,ИСХОДНИК!A:P,3,FALSE())</f>
        <v>Маховик (100 мм) для клапанов SVA, REG, SCA DN 50</v>
      </c>
      <c r="D65" s="495"/>
      <c r="E65" s="495"/>
      <c r="F65" s="495"/>
      <c r="G65" s="495"/>
      <c r="H65" s="495"/>
      <c r="I65" s="105">
        <v>15</v>
      </c>
      <c r="J65" s="105" t="str">
        <f>VLOOKUP(B65,ИСХОДНИК!A:P,15,FALSE())</f>
        <v>U6 PL40R</v>
      </c>
      <c r="K65" s="139">
        <f>VLOOKUP(B65,ИСХОДНИК!A:P,13,FALSE())</f>
        <v>29400</v>
      </c>
      <c r="L65" s="139">
        <f>VLOOKUP(B65,ИСХОДНИК!A:P,14,FALSE())</f>
        <v>34104</v>
      </c>
      <c r="M65" s="104" t="str">
        <f>VLOOKUP(B65,ИСХОДНИК!A:Q,17,FALSE())</f>
        <v>◑</v>
      </c>
    </row>
    <row r="66" spans="2:13" ht="18" customHeight="1">
      <c r="B66" s="97" t="s">
        <v>242</v>
      </c>
      <c r="C66" s="495" t="str">
        <f>VLOOKUP(B66,ИСХОДНИК!A:P,3,FALSE())</f>
        <v>Маховик (120 мм) для клапанов SVA, REG, SCA DN 65</v>
      </c>
      <c r="D66" s="495"/>
      <c r="E66" s="495"/>
      <c r="F66" s="495"/>
      <c r="G66" s="495"/>
      <c r="H66" s="495"/>
      <c r="I66" s="105">
        <v>15</v>
      </c>
      <c r="J66" s="105" t="str">
        <f>VLOOKUP(B66,ИСХОДНИК!A:P,15,FALSE())</f>
        <v>U6 PL40R</v>
      </c>
      <c r="K66" s="139">
        <f>VLOOKUP(B66,ИСХОДНИК!A:P,13,FALSE())</f>
        <v>35400</v>
      </c>
      <c r="L66" s="139">
        <f>VLOOKUP(B66,ИСХОДНИК!A:P,14,FALSE())</f>
        <v>41064</v>
      </c>
      <c r="M66" s="104" t="str">
        <f>VLOOKUP(B66,ИСХОДНИК!A:Q,17,FALSE())</f>
        <v>◑</v>
      </c>
    </row>
    <row r="67" spans="2:13" ht="18" customHeight="1">
      <c r="B67" s="97" t="s">
        <v>243</v>
      </c>
      <c r="C67" s="495" t="str">
        <f>VLOOKUP(B67,ИСХОДНИК!A:P,3,FALSE())</f>
        <v>Маховик (160 мм) для клапанов SVA, SCA DN 80</v>
      </c>
      <c r="D67" s="495"/>
      <c r="E67" s="495"/>
      <c r="F67" s="495"/>
      <c r="G67" s="495"/>
      <c r="H67" s="495"/>
      <c r="I67" s="105">
        <v>15</v>
      </c>
      <c r="J67" s="105" t="str">
        <f>VLOOKUP(B67,ИСХОДНИК!A:P,15,FALSE())</f>
        <v>U6 PL40R</v>
      </c>
      <c r="K67" s="139">
        <f>VLOOKUP(B67,ИСХОДНИК!A:P,13,FALSE())</f>
        <v>45000</v>
      </c>
      <c r="L67" s="139">
        <f>VLOOKUP(B67,ИСХОДНИК!A:P,14,FALSE())</f>
        <v>52200</v>
      </c>
      <c r="M67" s="104" t="str">
        <f>VLOOKUP(B67,ИСХОДНИК!A:Q,17,FALSE())</f>
        <v>◑</v>
      </c>
    </row>
  </sheetData>
  <autoFilter ref="B11:M11" xr:uid="{00000000-0009-0000-0000-000005000000}"/>
  <mergeCells count="24">
    <mergeCell ref="C64:H64"/>
    <mergeCell ref="C65:H65"/>
    <mergeCell ref="C66:H66"/>
    <mergeCell ref="C67:H67"/>
    <mergeCell ref="C58:H58"/>
    <mergeCell ref="C59:H59"/>
    <mergeCell ref="C60:H60"/>
    <mergeCell ref="C61:H61"/>
    <mergeCell ref="C63:H63"/>
    <mergeCell ref="B52:M52"/>
    <mergeCell ref="C53:H53"/>
    <mergeCell ref="C54:H54"/>
    <mergeCell ref="C55:H55"/>
    <mergeCell ref="C56:H56"/>
    <mergeCell ref="C47:H47"/>
    <mergeCell ref="C48:H48"/>
    <mergeCell ref="C49:H49"/>
    <mergeCell ref="C50:H50"/>
    <mergeCell ref="C51:H51"/>
    <mergeCell ref="B3:H3"/>
    <mergeCell ref="J10:M10"/>
    <mergeCell ref="B30:M30"/>
    <mergeCell ref="J32:M45"/>
    <mergeCell ref="C46:H46"/>
  </mergeCells>
  <conditionalFormatting sqref="K12:L19 K53:L67 K21:L28 K47:K51 L47:L51">
    <cfRule type="containsErrors" dxfId="4" priority="2">
      <formula>ISERROR(K12)</formula>
    </cfRule>
  </conditionalFormatting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4"/>
  <sheetViews>
    <sheetView showGridLines="0" topLeftCell="B39" zoomScaleNormal="100" workbookViewId="0">
      <selection activeCell="P73" sqref="P73"/>
    </sheetView>
  </sheetViews>
  <sheetFormatPr defaultColWidth="9.1796875" defaultRowHeight="12.75" customHeight="1"/>
  <cols>
    <col min="1" max="1" width="2.1796875" customWidth="1"/>
    <col min="2" max="2" width="16.7265625" style="216" customWidth="1"/>
    <col min="3" max="3" width="28.81640625" customWidth="1"/>
    <col min="4" max="4" width="13.7265625" customWidth="1"/>
    <col min="5" max="5" width="27.1796875" customWidth="1"/>
    <col min="6" max="6" width="8.7265625" customWidth="1"/>
    <col min="7" max="7" width="23.1796875" customWidth="1"/>
    <col min="8" max="8" width="11.7265625" customWidth="1"/>
    <col min="9" max="9" width="16" customWidth="1"/>
    <col min="10" max="10" width="12.1796875" customWidth="1"/>
    <col min="11" max="11" width="10.453125" customWidth="1"/>
    <col min="12" max="12" width="11.1796875" customWidth="1"/>
    <col min="13" max="13" width="5.1796875" customWidth="1"/>
    <col min="17" max="17" width="11.1796875" customWidth="1"/>
    <col min="18" max="18" width="11.453125" customWidth="1"/>
    <col min="19" max="19" width="11" customWidth="1"/>
    <col min="20" max="20" width="11.1796875" customWidth="1"/>
  </cols>
  <sheetData>
    <row r="1" spans="1:20" ht="10.5" customHeight="1"/>
    <row r="2" spans="1:20" ht="42" customHeight="1">
      <c r="B2" s="213" t="s">
        <v>275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  <c r="O2" s="497" t="s">
        <v>144</v>
      </c>
      <c r="P2" s="497"/>
      <c r="Q2" s="497"/>
      <c r="R2" s="497"/>
      <c r="S2" s="497"/>
      <c r="T2" s="497"/>
    </row>
    <row r="3" spans="1:20" ht="63" customHeight="1">
      <c r="B3" s="491" t="s">
        <v>276</v>
      </c>
      <c r="C3" s="491"/>
      <c r="D3" s="491"/>
      <c r="E3" s="491"/>
      <c r="F3" s="491"/>
      <c r="G3" s="491"/>
      <c r="H3" s="491"/>
      <c r="I3" s="113"/>
      <c r="J3" s="113"/>
      <c r="K3" s="113"/>
      <c r="L3" s="113"/>
      <c r="M3" s="114"/>
      <c r="O3" s="159"/>
      <c r="P3" s="160"/>
      <c r="Q3" s="498"/>
      <c r="R3" s="498"/>
      <c r="S3" s="161"/>
      <c r="T3" s="162"/>
    </row>
    <row r="4" spans="1:20" ht="11.25" customHeight="1">
      <c r="B4" s="76" t="s">
        <v>58</v>
      </c>
      <c r="C4" s="115" t="s">
        <v>59</v>
      </c>
      <c r="D4" s="163"/>
      <c r="E4" s="164"/>
      <c r="F4" s="116"/>
      <c r="G4" s="116"/>
      <c r="H4" s="117"/>
      <c r="I4" s="113"/>
      <c r="J4" s="113"/>
      <c r="K4" s="113"/>
      <c r="L4" s="113"/>
      <c r="M4" s="114"/>
      <c r="O4" s="159"/>
      <c r="P4" s="160"/>
      <c r="Q4" s="498"/>
      <c r="R4" s="498"/>
      <c r="S4" s="165"/>
      <c r="T4" s="166"/>
    </row>
    <row r="5" spans="1:20" ht="10.5" customHeight="1">
      <c r="B5" s="78" t="s">
        <v>61</v>
      </c>
      <c r="C5" s="115" t="s">
        <v>62</v>
      </c>
      <c r="D5" s="163"/>
      <c r="E5" s="164"/>
      <c r="F5" s="116"/>
      <c r="G5" s="116"/>
      <c r="H5" s="117"/>
      <c r="I5" s="113"/>
      <c r="J5" s="113"/>
      <c r="K5" s="113"/>
      <c r="L5" s="113"/>
      <c r="M5" s="114"/>
      <c r="O5" s="159"/>
      <c r="P5" s="160"/>
      <c r="Q5" s="498"/>
      <c r="R5" s="498"/>
      <c r="S5" s="165"/>
      <c r="T5" s="166"/>
    </row>
    <row r="6" spans="1:20" ht="11.25" customHeight="1">
      <c r="B6" s="80" t="s">
        <v>65</v>
      </c>
      <c r="C6" s="115" t="s">
        <v>66</v>
      </c>
      <c r="D6" s="163"/>
      <c r="E6" s="164"/>
      <c r="F6" s="116"/>
      <c r="G6" s="116"/>
      <c r="H6" s="117"/>
      <c r="I6" s="113"/>
      <c r="J6" s="113"/>
      <c r="K6" s="113"/>
      <c r="L6" s="113"/>
      <c r="M6" s="114"/>
      <c r="O6" s="159"/>
      <c r="P6" s="160"/>
      <c r="Q6" s="498"/>
      <c r="R6" s="498"/>
      <c r="S6" s="30"/>
      <c r="T6" s="29"/>
    </row>
    <row r="7" spans="1:20" ht="11.25" customHeight="1">
      <c r="B7" s="80"/>
      <c r="C7" s="115"/>
      <c r="D7" s="163"/>
      <c r="E7" s="164"/>
      <c r="F7" s="116"/>
      <c r="G7" s="116"/>
      <c r="H7" s="117"/>
      <c r="I7" s="113"/>
      <c r="J7" s="113"/>
      <c r="K7" s="113"/>
      <c r="L7" s="113"/>
      <c r="M7" s="114"/>
      <c r="O7" s="159"/>
      <c r="P7" s="160"/>
      <c r="Q7" s="498"/>
      <c r="R7" s="498"/>
      <c r="S7" s="30"/>
      <c r="T7" s="29"/>
    </row>
    <row r="8" spans="1:20" ht="15" customHeight="1">
      <c r="B8" s="118"/>
      <c r="C8" s="119"/>
      <c r="D8" s="119"/>
      <c r="E8" s="119"/>
      <c r="F8" s="120"/>
      <c r="G8" s="120"/>
      <c r="H8" s="113"/>
      <c r="I8" s="113"/>
      <c r="J8" s="113"/>
      <c r="K8" s="113"/>
      <c r="L8" s="113"/>
      <c r="M8" s="114"/>
      <c r="O8" s="167"/>
      <c r="P8" s="168"/>
      <c r="Q8" s="498"/>
      <c r="R8" s="498"/>
      <c r="S8" s="165"/>
      <c r="T8" s="166"/>
    </row>
    <row r="9" spans="1:20" ht="15" customHeight="1">
      <c r="A9" s="32"/>
      <c r="B9" s="122"/>
      <c r="C9" s="74"/>
      <c r="D9" s="74"/>
      <c r="E9" s="74"/>
      <c r="F9" s="123"/>
      <c r="G9" s="123"/>
      <c r="H9" s="113"/>
      <c r="I9" s="113"/>
      <c r="J9" s="113"/>
      <c r="K9" s="113"/>
      <c r="L9" s="113"/>
      <c r="M9" s="114"/>
      <c r="O9" s="169"/>
      <c r="P9" s="170"/>
      <c r="Q9" s="498"/>
      <c r="R9" s="498"/>
      <c r="S9" s="171"/>
      <c r="T9" s="172"/>
    </row>
    <row r="10" spans="1:20" ht="21" customHeight="1">
      <c r="B10" s="174" t="s">
        <v>277</v>
      </c>
      <c r="C10" s="125"/>
      <c r="D10" s="125"/>
      <c r="E10" s="125"/>
      <c r="F10" s="125"/>
      <c r="G10" s="125"/>
      <c r="H10" s="125"/>
      <c r="I10" s="125"/>
      <c r="J10" s="512"/>
      <c r="K10" s="512"/>
      <c r="L10" s="512"/>
      <c r="M10" s="512"/>
      <c r="O10" s="500" t="s">
        <v>147</v>
      </c>
      <c r="P10" s="501" t="s">
        <v>81</v>
      </c>
      <c r="Q10" s="513" t="s">
        <v>148</v>
      </c>
      <c r="R10" s="513"/>
      <c r="S10" s="514" t="s">
        <v>149</v>
      </c>
      <c r="T10" s="514"/>
    </row>
    <row r="11" spans="1:20" ht="45.75" customHeight="1">
      <c r="B11" s="95" t="s">
        <v>72</v>
      </c>
      <c r="C11" s="95" t="s">
        <v>90</v>
      </c>
      <c r="D11" s="95" t="s">
        <v>150</v>
      </c>
      <c r="E11" s="95" t="s">
        <v>91</v>
      </c>
      <c r="F11" s="95" t="s">
        <v>81</v>
      </c>
      <c r="G11" s="95" t="s">
        <v>84</v>
      </c>
      <c r="H11" s="95" t="s">
        <v>99</v>
      </c>
      <c r="I11" s="95" t="s">
        <v>83</v>
      </c>
      <c r="J11" s="208" t="s">
        <v>67</v>
      </c>
      <c r="K11" s="95" t="s">
        <v>74</v>
      </c>
      <c r="L11" s="95" t="s">
        <v>75</v>
      </c>
      <c r="M11" s="242" t="s">
        <v>55</v>
      </c>
      <c r="O11" s="500"/>
      <c r="P11" s="501"/>
      <c r="Q11" s="177" t="s">
        <v>151</v>
      </c>
      <c r="R11" s="178" t="s">
        <v>152</v>
      </c>
      <c r="S11" s="179" t="s">
        <v>151</v>
      </c>
      <c r="T11" s="180" t="s">
        <v>152</v>
      </c>
    </row>
    <row r="12" spans="1:20" ht="23.25" customHeight="1">
      <c r="B12" s="97" t="s">
        <v>278</v>
      </c>
      <c r="C12" s="98" t="str">
        <f>VLOOKUP(B12,ИСХОДНИК!A:P,5,FALSE())</f>
        <v>CHV 15 D STR PN 52</v>
      </c>
      <c r="D12" s="105" t="s">
        <v>257</v>
      </c>
      <c r="E12" s="134" t="str">
        <f>VLOOKUP(B12,ИСХОДНИК!A:P,11,FALSE())</f>
        <v>Под сварку встык DIN</v>
      </c>
      <c r="F12" s="105">
        <f>VLOOKUP(B12,ИСХОДНИК!A:P,7,FALSE())</f>
        <v>15</v>
      </c>
      <c r="G12" s="137" t="str">
        <f>VLOOKUP(B12,ИСХОДНИК!A:P,10,FALSE())</f>
        <v>R717, R744 и фреоны</v>
      </c>
      <c r="H12" s="137">
        <f>VLOOKUP(B12,ИСХОДНИК!A:P,8,FALSE())</f>
        <v>52</v>
      </c>
      <c r="I12" s="137" t="str">
        <f>VLOOKUP(B12,ИСХОДНИК!A:P,9,FALSE())</f>
        <v xml:space="preserve"> -60…120</v>
      </c>
      <c r="J12" s="105" t="str">
        <f>VLOOKUP(B12,ИСХОДНИК!A:P,15,FALSE())</f>
        <v>U6 PL40R</v>
      </c>
      <c r="K12" s="139">
        <f>VLOOKUP(B12,ИСХОДНИК!A:P,13,FALSE())</f>
        <v>36000</v>
      </c>
      <c r="L12" s="139">
        <f>VLOOKUP(B12,ИСХОДНИК!A:P,14,FALSE())</f>
        <v>41760</v>
      </c>
      <c r="M12" s="104" t="str">
        <f>IF(VLOOKUP(B12,ИСХОДНИК!A:R,18,FALSE())=1,ИСХОДНИК!$T$2,IF(VLOOKUP(B12,ИСХОДНИК!A:R,18,FALSE())=2,ИСХОДНИК!$T$5,IF(VLOOKUP(B12,ИСХОДНИК!A:R,18,FALSE())=3,ИСХОДНИК!$T$6)))</f>
        <v>◑</v>
      </c>
      <c r="O12" s="181">
        <v>1</v>
      </c>
      <c r="P12" s="182">
        <v>15</v>
      </c>
      <c r="Q12" s="183">
        <v>21.3</v>
      </c>
      <c r="R12" s="184">
        <v>2.2999999999999998</v>
      </c>
      <c r="S12" s="185">
        <v>8</v>
      </c>
      <c r="T12" s="185">
        <v>2.5</v>
      </c>
    </row>
    <row r="13" spans="1:20" ht="23.25" customHeight="1">
      <c r="B13" s="97" t="s">
        <v>279</v>
      </c>
      <c r="C13" s="98" t="str">
        <f>VLOOKUP(B13,ИСХОДНИК!A:P,5,FALSE())</f>
        <v>CHV 20 D STR PN 52</v>
      </c>
      <c r="D13" s="105" t="s">
        <v>257</v>
      </c>
      <c r="E13" s="134" t="str">
        <f>VLOOKUP(B13,ИСХОДНИК!A:P,11,FALSE())</f>
        <v>Под сварку встык DIN</v>
      </c>
      <c r="F13" s="105">
        <f>VLOOKUP(B13,ИСХОДНИК!A:P,7,FALSE())</f>
        <v>20</v>
      </c>
      <c r="G13" s="137" t="str">
        <f>VLOOKUP(B13,ИСХОДНИК!A:P,10,FALSE())</f>
        <v>R717, R744 и фреоны</v>
      </c>
      <c r="H13" s="137">
        <f>VLOOKUP(B13,ИСХОДНИК!A:P,8,FALSE())</f>
        <v>52</v>
      </c>
      <c r="I13" s="137" t="str">
        <f>VLOOKUP(B13,ИСХОДНИК!A:P,9,FALSE())</f>
        <v xml:space="preserve"> -60…120</v>
      </c>
      <c r="J13" s="105" t="str">
        <f>VLOOKUP(B13,ИСХОДНИК!A:P,15,FALSE())</f>
        <v>U6 PL40R</v>
      </c>
      <c r="K13" s="139">
        <f>VLOOKUP(B13,ИСХОДНИК!A:P,13,FALSE())</f>
        <v>38400</v>
      </c>
      <c r="L13" s="139">
        <f>VLOOKUP(B13,ИСХОДНИК!A:P,14,FALSE())</f>
        <v>44544</v>
      </c>
      <c r="M13" s="104" t="str">
        <f>IF(VLOOKUP(B13,ИСХОДНИК!A:R,18,FALSE())=1,ИСХОДНИК!$T$2,IF(VLOOKUP(B13,ИСХОДНИК!A:R,18,FALSE())=2,ИСХОДНИК!$T$5,IF(VLOOKUP(B13,ИСХОДНИК!A:R,18,FALSE())=3,ИСХОДНИК!$T$6)))</f>
        <v>◑</v>
      </c>
      <c r="O13" s="105">
        <v>2</v>
      </c>
      <c r="P13" s="182">
        <v>20</v>
      </c>
      <c r="Q13" s="183">
        <v>26.9</v>
      </c>
      <c r="R13" s="184">
        <v>2.2999999999999998</v>
      </c>
      <c r="S13" s="185">
        <v>25</v>
      </c>
      <c r="T13" s="185">
        <v>2.5</v>
      </c>
    </row>
    <row r="14" spans="1:20" ht="24" customHeight="1">
      <c r="B14" s="97" t="s">
        <v>280</v>
      </c>
      <c r="C14" s="98" t="str">
        <f>VLOOKUP(B14,ИСХОДНИК!A:P,5,FALSE())</f>
        <v>CHV 25 D STR PN 52</v>
      </c>
      <c r="D14" s="105" t="s">
        <v>257</v>
      </c>
      <c r="E14" s="134" t="str">
        <f>VLOOKUP(B14,ИСХОДНИК!A:P,11,FALSE())</f>
        <v>Под сварку встык DIN</v>
      </c>
      <c r="F14" s="105">
        <f>VLOOKUP(B14,ИСХОДНИК!A:P,7,FALSE())</f>
        <v>25</v>
      </c>
      <c r="G14" s="137" t="str">
        <f>VLOOKUP(B14,ИСХОДНИК!A:P,10,FALSE())</f>
        <v>R717, R744 и фреоны</v>
      </c>
      <c r="H14" s="137">
        <f>VLOOKUP(B14,ИСХОДНИК!A:P,8,FALSE())</f>
        <v>52</v>
      </c>
      <c r="I14" s="137" t="str">
        <f>VLOOKUP(B14,ИСХОДНИК!A:P,9,FALSE())</f>
        <v xml:space="preserve"> -60…120</v>
      </c>
      <c r="J14" s="105" t="str">
        <f>VLOOKUP(B14,ИСХОДНИК!A:P,15,FALSE())</f>
        <v>U6 PL40R</v>
      </c>
      <c r="K14" s="139">
        <f>VLOOKUP(B14,ИСХОДНИК!A:P,13,FALSE())</f>
        <v>48000</v>
      </c>
      <c r="L14" s="139">
        <f>VLOOKUP(B14,ИСХОДНИК!A:P,14,FALSE())</f>
        <v>55679.999999999993</v>
      </c>
      <c r="M14" s="104" t="str">
        <f>IF(VLOOKUP(B14,ИСХОДНИК!A:R,18,FALSE())=1,ИСХОДНИК!$T$2,IF(VLOOKUP(B14,ИСХОДНИК!A:R,18,FALSE())=2,ИСХОДНИК!$T$5,IF(VLOOKUP(B14,ИСХОДНИК!A:R,18,FALSE())=3,ИСХОДНИК!$T$6)))</f>
        <v>◑</v>
      </c>
      <c r="O14" s="105">
        <v>3</v>
      </c>
      <c r="P14" s="105">
        <v>25</v>
      </c>
      <c r="Q14" s="184">
        <v>33.700000000000003</v>
      </c>
      <c r="R14" s="184">
        <v>2.6</v>
      </c>
      <c r="S14" s="185">
        <v>32</v>
      </c>
      <c r="T14" s="185">
        <v>3</v>
      </c>
    </row>
    <row r="15" spans="1:20" ht="24" customHeight="1">
      <c r="B15" s="97" t="s">
        <v>281</v>
      </c>
      <c r="C15" s="98" t="str">
        <f>VLOOKUP(B15,ИСХОДНИК!A:P,5,FALSE())</f>
        <v>CHV 32 D STR PN 52</v>
      </c>
      <c r="D15" s="105" t="s">
        <v>257</v>
      </c>
      <c r="E15" s="134" t="str">
        <f>VLOOKUP(B15,ИСХОДНИК!A:P,11,FALSE())</f>
        <v>Под сварку встык DIN</v>
      </c>
      <c r="F15" s="105">
        <f>VLOOKUP(B15,ИСХОДНИК!A:P,7,FALSE())</f>
        <v>32</v>
      </c>
      <c r="G15" s="137" t="str">
        <f>VLOOKUP(B15,ИСХОДНИК!A:P,10,FALSE())</f>
        <v>R717, R744 и фреоны</v>
      </c>
      <c r="H15" s="137">
        <f>VLOOKUP(B15,ИСХОДНИК!A:P,8,FALSE())</f>
        <v>52</v>
      </c>
      <c r="I15" s="137" t="str">
        <f>VLOOKUP(B15,ИСХОДНИК!A:P,9,FALSE())</f>
        <v xml:space="preserve"> -60…120</v>
      </c>
      <c r="J15" s="105" t="str">
        <f>VLOOKUP(B15,ИСХОДНИК!A:P,15,FALSE())</f>
        <v>U6 PL40R</v>
      </c>
      <c r="K15" s="139">
        <f>VLOOKUP(B15,ИСХОДНИК!A:P,13,FALSE())</f>
        <v>58800</v>
      </c>
      <c r="L15" s="139">
        <f>VLOOKUP(B15,ИСХОДНИК!A:P,14,FALSE())</f>
        <v>68208</v>
      </c>
      <c r="M15" s="140" t="str">
        <f>IF(VLOOKUP(B15,ИСХОДНИК!A:R,18,FALSE())=1,ИСХОДНИК!$T$2,IF(VLOOKUP(B15,ИСХОДНИК!A:R,18,FALSE())=2,ИСХОДНИК!$T$5,IF(VLOOKUP(B15,ИСХОДНИК!A:R,18,FALSE())=3,ИСХОДНИК!$T$6)))</f>
        <v>○</v>
      </c>
      <c r="O15" s="105">
        <v>4</v>
      </c>
      <c r="P15" s="105">
        <v>32</v>
      </c>
      <c r="Q15" s="184">
        <v>42.4</v>
      </c>
      <c r="R15" s="184">
        <v>2.6</v>
      </c>
      <c r="S15" s="185">
        <v>38</v>
      </c>
      <c r="T15" s="185">
        <v>3</v>
      </c>
    </row>
    <row r="16" spans="1:20" ht="23.25" customHeight="1">
      <c r="B16" s="97" t="s">
        <v>282</v>
      </c>
      <c r="C16" s="98" t="str">
        <f>VLOOKUP(B16,ИСХОДНИК!A:P,5,FALSE())</f>
        <v>CHV 40 D STR PN 52</v>
      </c>
      <c r="D16" s="105" t="s">
        <v>257</v>
      </c>
      <c r="E16" s="134" t="str">
        <f>VLOOKUP(B16,ИСХОДНИК!A:P,11,FALSE())</f>
        <v>Под сварку встык DIN</v>
      </c>
      <c r="F16" s="105">
        <f>VLOOKUP(B16,ИСХОДНИК!A:P,7,FALSE())</f>
        <v>40</v>
      </c>
      <c r="G16" s="137" t="str">
        <f>VLOOKUP(B16,ИСХОДНИК!A:P,10,FALSE())</f>
        <v>R717, R744 и фреоны</v>
      </c>
      <c r="H16" s="137">
        <f>VLOOKUP(B16,ИСХОДНИК!A:P,8,FALSE())</f>
        <v>52</v>
      </c>
      <c r="I16" s="137" t="str">
        <f>VLOOKUP(B16,ИСХОДНИК!A:P,9,FALSE())</f>
        <v xml:space="preserve"> -60…120</v>
      </c>
      <c r="J16" s="105" t="str">
        <f>VLOOKUP(B16,ИСХОДНИК!A:P,15,FALSE())</f>
        <v>U6 PL40R</v>
      </c>
      <c r="K16" s="139">
        <f>VLOOKUP(B16,ИСХОДНИК!A:P,13,FALSE())</f>
        <v>75600</v>
      </c>
      <c r="L16" s="139">
        <f>VLOOKUP(B16,ИСХОДНИК!A:P,14,FALSE())</f>
        <v>87696</v>
      </c>
      <c r="M16" s="140" t="str">
        <f>IF(VLOOKUP(B16,ИСХОДНИК!A:R,18,FALSE())=1,ИСХОДНИК!$T$2,IF(VLOOKUP(B16,ИСХОДНИК!A:R,18,FALSE())=2,ИСХОДНИК!$T$5,IF(VLOOKUP(B16,ИСХОДНИК!A:R,18,FALSE())=3,ИСХОДНИК!$T$6)))</f>
        <v>○</v>
      </c>
      <c r="O16" s="105">
        <v>5</v>
      </c>
      <c r="P16" s="105">
        <v>40</v>
      </c>
      <c r="Q16" s="184">
        <v>48.3</v>
      </c>
      <c r="R16" s="184">
        <v>2.6</v>
      </c>
      <c r="S16" s="185">
        <v>45</v>
      </c>
      <c r="T16" s="185">
        <v>3</v>
      </c>
    </row>
    <row r="17" spans="2:20" ht="23.25" customHeight="1">
      <c r="B17" s="97" t="s">
        <v>283</v>
      </c>
      <c r="C17" s="98" t="str">
        <f>VLOOKUP(B17,ИСХОДНИК!A:P,5,FALSE())</f>
        <v>CHV 50 D STR PN 52</v>
      </c>
      <c r="D17" s="105" t="s">
        <v>257</v>
      </c>
      <c r="E17" s="134" t="str">
        <f>VLOOKUP(B17,ИСХОДНИК!A:P,11,FALSE())</f>
        <v>Под сварку встык DIN</v>
      </c>
      <c r="F17" s="105">
        <f>VLOOKUP(B17,ИСХОДНИК!A:P,7,FALSE())</f>
        <v>50</v>
      </c>
      <c r="G17" s="137" t="str">
        <f>VLOOKUP(B17,ИСХОДНИК!A:P,10,FALSE())</f>
        <v>R717, R744 и фреоны</v>
      </c>
      <c r="H17" s="137">
        <f>VLOOKUP(B17,ИСХОДНИК!A:P,8,FALSE())</f>
        <v>52</v>
      </c>
      <c r="I17" s="137" t="str">
        <f>VLOOKUP(B17,ИСХОДНИК!A:P,9,FALSE())</f>
        <v xml:space="preserve"> -60…120</v>
      </c>
      <c r="J17" s="105" t="str">
        <f>VLOOKUP(B17,ИСХОДНИК!A:P,15,FALSE())</f>
        <v>U6 PL40R</v>
      </c>
      <c r="K17" s="139">
        <f>VLOOKUP(B17,ИСХОДНИК!A:P,13,FALSE())</f>
        <v>90000</v>
      </c>
      <c r="L17" s="139">
        <f>VLOOKUP(B17,ИСХОДНИК!A:P,14,FALSE())</f>
        <v>104400</v>
      </c>
      <c r="M17" s="140" t="str">
        <f>IF(VLOOKUP(B17,ИСХОДНИК!A:R,18,FALSE())=1,ИСХОДНИК!$T$2,IF(VLOOKUP(B17,ИСХОДНИК!A:R,18,FALSE())=2,ИСХОДНИК!$T$5,IF(VLOOKUP(B17,ИСХОДНИК!A:R,18,FALSE())=3,ИСХОДНИК!$T$6)))</f>
        <v>○</v>
      </c>
      <c r="O17" s="105">
        <v>6</v>
      </c>
      <c r="P17" s="105">
        <v>50</v>
      </c>
      <c r="Q17" s="184">
        <v>60.3</v>
      </c>
      <c r="R17" s="184">
        <v>2.9</v>
      </c>
      <c r="S17" s="185">
        <v>57</v>
      </c>
      <c r="T17" s="185">
        <v>3.5</v>
      </c>
    </row>
    <row r="18" spans="2:20" ht="23.25" customHeight="1">
      <c r="B18" s="97" t="s">
        <v>284</v>
      </c>
      <c r="C18" s="98" t="str">
        <f>VLOOKUP(B18,ИСХОДНИК!A:P,5,FALSE())</f>
        <v>CHV 65 D STR PN 52</v>
      </c>
      <c r="D18" s="105" t="s">
        <v>257</v>
      </c>
      <c r="E18" s="134" t="str">
        <f>VLOOKUP(B18,ИСХОДНИК!A:P,11,FALSE())</f>
        <v>Под сварку встык DIN</v>
      </c>
      <c r="F18" s="105">
        <f>VLOOKUP(B18,ИСХОДНИК!A:P,7,FALSE())</f>
        <v>65</v>
      </c>
      <c r="G18" s="137" t="str">
        <f>VLOOKUP(B18,ИСХОДНИК!A:P,10,FALSE())</f>
        <v>R717, R744 и фреоны</v>
      </c>
      <c r="H18" s="137">
        <f>VLOOKUP(B18,ИСХОДНИК!A:P,8,FALSE())</f>
        <v>52</v>
      </c>
      <c r="I18" s="137" t="str">
        <f>VLOOKUP(B18,ИСХОДНИК!A:P,9,FALSE())</f>
        <v xml:space="preserve"> -60…120</v>
      </c>
      <c r="J18" s="105" t="str">
        <f>VLOOKUP(B18,ИСХОДНИК!A:P,15,FALSE())</f>
        <v>U6 PL40R</v>
      </c>
      <c r="K18" s="139">
        <f>VLOOKUP(B18,ИСХОДНИК!A:P,13,FALSE())</f>
        <v>126000</v>
      </c>
      <c r="L18" s="139">
        <f>VLOOKUP(B18,ИСХОДНИК!A:P,14,FALSE())</f>
        <v>146160</v>
      </c>
      <c r="M18" s="140" t="str">
        <f>IF(VLOOKUP(B18,ИСХОДНИК!A:R,18,FALSE())=1,ИСХОДНИК!$T$2,IF(VLOOKUP(B18,ИСХОДНИК!A:R,18,FALSE())=2,ИСХОДНИК!$T$5,IF(VLOOKUP(B18,ИСХОДНИК!A:R,18,FALSE())=3,ИСХОДНИК!$T$6)))</f>
        <v>○</v>
      </c>
      <c r="O18" s="105">
        <v>7</v>
      </c>
      <c r="P18" s="105">
        <v>65</v>
      </c>
      <c r="Q18" s="184">
        <v>76.099999999999994</v>
      </c>
      <c r="R18" s="184">
        <v>2.9</v>
      </c>
      <c r="S18" s="186"/>
      <c r="T18" s="187"/>
    </row>
    <row r="19" spans="2:20" ht="23.25" customHeight="1">
      <c r="B19" s="97" t="s">
        <v>285</v>
      </c>
      <c r="C19" s="98" t="str">
        <f>VLOOKUP(B19,ИСХОДНИК!A:P,5,FALSE())</f>
        <v>CHV 80 D STR PN 52</v>
      </c>
      <c r="D19" s="105" t="s">
        <v>257</v>
      </c>
      <c r="E19" s="134" t="str">
        <f>VLOOKUP(B19,ИСХОДНИК!A:P,11,FALSE())</f>
        <v>Под сварку встык DIN</v>
      </c>
      <c r="F19" s="105">
        <f>VLOOKUP(B19,ИСХОДНИК!A:P,7,FALSE())</f>
        <v>80</v>
      </c>
      <c r="G19" s="137" t="str">
        <f>VLOOKUP(B19,ИСХОДНИК!A:P,10,FALSE())</f>
        <v>R717, R744 и фреоны</v>
      </c>
      <c r="H19" s="137">
        <f>VLOOKUP(B19,ИСХОДНИК!A:P,8,FALSE())</f>
        <v>52</v>
      </c>
      <c r="I19" s="137" t="str">
        <f>VLOOKUP(B19,ИСХОДНИК!A:P,9,FALSE())</f>
        <v xml:space="preserve"> -60…120</v>
      </c>
      <c r="J19" s="105" t="str">
        <f>VLOOKUP(B19,ИСХОДНИК!A:P,15,FALSE())</f>
        <v>U6 PL40R</v>
      </c>
      <c r="K19" s="139">
        <f>VLOOKUP(B19,ИСХОДНИК!A:P,13,FALSE())</f>
        <v>150000</v>
      </c>
      <c r="L19" s="139">
        <f>VLOOKUP(B19,ИСХОДНИК!A:P,14,FALSE())</f>
        <v>174000</v>
      </c>
      <c r="M19" s="140" t="str">
        <f>IF(VLOOKUP(B19,ИСХОДНИК!A:R,18,FALSE())=1,ИСХОДНИК!$T$2,IF(VLOOKUP(B19,ИСХОДНИК!A:R,18,FALSE())=2,ИСХОДНИК!$T$5,IF(VLOOKUP(B19,ИСХОДНИК!A:R,18,FALSE())=3,ИСХОДНИК!$T$6)))</f>
        <v>○</v>
      </c>
      <c r="O19" s="105">
        <v>8</v>
      </c>
      <c r="P19" s="105">
        <v>80</v>
      </c>
      <c r="Q19" s="184">
        <v>88.9</v>
      </c>
      <c r="R19" s="184">
        <v>3.2</v>
      </c>
      <c r="S19" s="188"/>
      <c r="T19" s="189"/>
    </row>
    <row r="20" spans="2:20" ht="23.25" customHeight="1">
      <c r="B20" s="97" t="s">
        <v>286</v>
      </c>
      <c r="C20" s="98" t="str">
        <f>VLOOKUP(B20,ИСХОДНИК!A:P,5,FALSE())</f>
        <v>CHV 100 D STR PN 52</v>
      </c>
      <c r="D20" s="105" t="s">
        <v>257</v>
      </c>
      <c r="E20" s="134" t="str">
        <f>VLOOKUP(B20,ИСХОДНИК!A:P,11,FALSE())</f>
        <v>Под сварку встык DIN</v>
      </c>
      <c r="F20" s="105">
        <f>VLOOKUP(B20,ИСХОДНИК!A:P,7,FALSE())</f>
        <v>100</v>
      </c>
      <c r="G20" s="137" t="str">
        <f>VLOOKUP(B20,ИСХОДНИК!A:P,10,FALSE())</f>
        <v>R717, R744 и фреоны</v>
      </c>
      <c r="H20" s="137">
        <f>VLOOKUP(B20,ИСХОДНИК!A:P,8,FALSE())</f>
        <v>52</v>
      </c>
      <c r="I20" s="137" t="str">
        <f>VLOOKUP(B20,ИСХОДНИК!A:P,9,FALSE())</f>
        <v xml:space="preserve"> -60…120</v>
      </c>
      <c r="J20" s="105" t="str">
        <f>VLOOKUP(B20,ИСХОДНИК!A:P,15,FALSE())</f>
        <v>U6 PL40R</v>
      </c>
      <c r="K20" s="139">
        <f>VLOOKUP(B20,ИСХОДНИК!A:P,13,FALSE())</f>
        <v>276000</v>
      </c>
      <c r="L20" s="139">
        <f>VLOOKUP(B20,ИСХОДНИК!A:P,14,FALSE())</f>
        <v>320160</v>
      </c>
      <c r="M20" s="140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O20" s="105">
        <v>9</v>
      </c>
      <c r="P20" s="105">
        <v>100</v>
      </c>
      <c r="Q20" s="184">
        <v>114.3</v>
      </c>
      <c r="R20" s="184">
        <v>3.6</v>
      </c>
      <c r="S20" s="185">
        <v>108</v>
      </c>
      <c r="T20" s="185">
        <v>4</v>
      </c>
    </row>
    <row r="21" spans="2:20" ht="23.25" customHeight="1">
      <c r="B21" s="97" t="s">
        <v>287</v>
      </c>
      <c r="C21" s="98" t="str">
        <f>VLOOKUP(B21,ИСХОДНИК!A:P,5,FALSE())</f>
        <v>CHV 100 G STR PN 52</v>
      </c>
      <c r="D21" s="105" t="s">
        <v>257</v>
      </c>
      <c r="E21" s="134" t="str">
        <f>VLOOKUP(B21,ИСХОДНИК!A:P,11,FALSE())</f>
        <v>Под сварку встык GOST</v>
      </c>
      <c r="F21" s="105">
        <f>VLOOKUP(B21,ИСХОДНИК!A:P,7,FALSE())</f>
        <v>100</v>
      </c>
      <c r="G21" s="137" t="str">
        <f>VLOOKUP(B21,ИСХОДНИК!A:P,10,FALSE())</f>
        <v>R717, R744 и фреоны</v>
      </c>
      <c r="H21" s="137">
        <f>VLOOKUP(B21,ИСХОДНИК!A:P,8,FALSE())</f>
        <v>52</v>
      </c>
      <c r="I21" s="137" t="str">
        <f>VLOOKUP(B21,ИСХОДНИК!A:P,9,FALSE())</f>
        <v xml:space="preserve"> -60…120</v>
      </c>
      <c r="J21" s="105" t="str">
        <f>VLOOKUP(B21,ИСХОДНИК!A:P,15,FALSE())</f>
        <v>U6 PL40R</v>
      </c>
      <c r="K21" s="139">
        <f>VLOOKUP(B21,ИСХОДНИК!A:P,13,FALSE())</f>
        <v>276000</v>
      </c>
      <c r="L21" s="139">
        <f>VLOOKUP(B21,ИСХОДНИК!A:P,14,FALSE())</f>
        <v>320160</v>
      </c>
      <c r="M21" s="140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O21" s="105">
        <v>10</v>
      </c>
      <c r="P21" s="105">
        <v>125</v>
      </c>
      <c r="Q21" s="184">
        <v>139.69999999999999</v>
      </c>
      <c r="R21" s="184">
        <v>4</v>
      </c>
      <c r="S21" s="185">
        <v>133</v>
      </c>
      <c r="T21" s="185">
        <v>4</v>
      </c>
    </row>
    <row r="22" spans="2:20" ht="23.25" customHeight="1">
      <c r="B22" s="97" t="s">
        <v>288</v>
      </c>
      <c r="C22" s="98" t="str">
        <f>VLOOKUP(B22,ИСХОДНИК!A:P,5,FALSE())</f>
        <v>CHV 100 D STR PN 40</v>
      </c>
      <c r="D22" s="105" t="s">
        <v>257</v>
      </c>
      <c r="E22" s="134" t="str">
        <f>VLOOKUP(B22,ИСХОДНИК!A:P,11,FALSE())</f>
        <v>Под сварку встык DIN</v>
      </c>
      <c r="F22" s="105">
        <f>VLOOKUP(B22,ИСХОДНИК!A:P,7,FALSE())</f>
        <v>100</v>
      </c>
      <c r="G22" s="137" t="str">
        <f>VLOOKUP(B22,ИСХОДНИК!A:P,10,FALSE())</f>
        <v>R717, R744 и фреоны</v>
      </c>
      <c r="H22" s="137">
        <f>VLOOKUP(B22,ИСХОДНИК!A:P,8,FALSE())</f>
        <v>40</v>
      </c>
      <c r="I22" s="137" t="str">
        <f>VLOOKUP(B22,ИСХОДНИК!A:P,9,FALSE())</f>
        <v xml:space="preserve"> -60…120</v>
      </c>
      <c r="J22" s="105" t="str">
        <f>VLOOKUP(B22,ИСХОДНИК!A:P,15,FALSE())</f>
        <v>U6 PL40R</v>
      </c>
      <c r="K22" s="139">
        <f>VLOOKUP(B22,ИСХОДНИК!A:P,13,FALSE())</f>
        <v>234000</v>
      </c>
      <c r="L22" s="139">
        <f>VLOOKUP(B22,ИСХОДНИК!A:P,14,FALSE())</f>
        <v>271440</v>
      </c>
      <c r="M22" s="140" t="str">
        <f>IF(VLOOKUP(B22,ИСХОДНИК!A:R,18,FALSE())=1,ИСХОДНИК!$T$2,IF(VLOOKUP(B22,ИСХОДНИК!A:R,18,FALSE())=2,ИСХОДНИК!$T$5,IF(VLOOKUP(B22,ИСХОДНИК!A:R,18,FALSE())=3,ИСХОДНИК!$T$6)))</f>
        <v>○</v>
      </c>
      <c r="O22" s="105">
        <v>11</v>
      </c>
      <c r="P22" s="105">
        <v>150</v>
      </c>
      <c r="Q22" s="184">
        <v>168.3</v>
      </c>
      <c r="R22" s="184">
        <v>4.5</v>
      </c>
      <c r="S22" s="185">
        <v>159</v>
      </c>
      <c r="T22" s="185">
        <v>4.5</v>
      </c>
    </row>
    <row r="23" spans="2:20" ht="23.25" customHeight="1">
      <c r="B23" s="97" t="s">
        <v>289</v>
      </c>
      <c r="C23" s="98" t="str">
        <f>VLOOKUP(B23,ИСХОДНИК!A:P,5,FALSE())</f>
        <v>CHV 100 G STR PN 40</v>
      </c>
      <c r="D23" s="105" t="s">
        <v>257</v>
      </c>
      <c r="E23" s="134" t="str">
        <f>VLOOKUP(B23,ИСХОДНИК!A:P,11,FALSE())</f>
        <v>Под сварку встык GOST</v>
      </c>
      <c r="F23" s="105">
        <f>VLOOKUP(B23,ИСХОДНИК!A:P,7,FALSE())</f>
        <v>100</v>
      </c>
      <c r="G23" s="137" t="str">
        <f>VLOOKUP(B23,ИСХОДНИК!A:P,10,FALSE())</f>
        <v>R717, R744 и фреоны</v>
      </c>
      <c r="H23" s="137">
        <f>VLOOKUP(B23,ИСХОДНИК!A:P,8,FALSE())</f>
        <v>40</v>
      </c>
      <c r="I23" s="137" t="str">
        <f>VLOOKUP(B23,ИСХОДНИК!A:P,9,FALSE())</f>
        <v xml:space="preserve"> -60…120</v>
      </c>
      <c r="J23" s="105" t="str">
        <f>VLOOKUP(B23,ИСХОДНИК!A:P,15,FALSE())</f>
        <v>U6 PL40R</v>
      </c>
      <c r="K23" s="139">
        <f>VLOOKUP(B23,ИСХОДНИК!A:P,13,FALSE())</f>
        <v>234000</v>
      </c>
      <c r="L23" s="139">
        <f>VLOOKUP(B23,ИСХОДНИК!A:P,14,FALSE())</f>
        <v>271440</v>
      </c>
      <c r="M23" s="140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20" ht="22.5" customHeight="1">
      <c r="B24" s="97" t="s">
        <v>290</v>
      </c>
      <c r="C24" s="98" t="str">
        <f>VLOOKUP(B24,ИСХОДНИК!A:P,5,FALSE())</f>
        <v>CHV 125 D STR PN 52</v>
      </c>
      <c r="D24" s="105" t="s">
        <v>257</v>
      </c>
      <c r="E24" s="134" t="str">
        <f>VLOOKUP(B24,ИСХОДНИК!A:P,11,FALSE())</f>
        <v>Под сварку встык DIN</v>
      </c>
      <c r="F24" s="105">
        <f>VLOOKUP(B24,ИСХОДНИК!A:P,7,FALSE())</f>
        <v>125</v>
      </c>
      <c r="G24" s="137" t="str">
        <f>VLOOKUP(B24,ИСХОДНИК!A:P,10,FALSE())</f>
        <v>R717, R744 и фреоны</v>
      </c>
      <c r="H24" s="137">
        <f>VLOOKUP(B24,ИСХОДНИК!A:P,8,FALSE())</f>
        <v>52</v>
      </c>
      <c r="I24" s="137" t="str">
        <f>VLOOKUP(B24,ИСХОДНИК!A:P,9,FALSE())</f>
        <v xml:space="preserve"> -60…120</v>
      </c>
      <c r="J24" s="105" t="str">
        <f>VLOOKUP(B24,ИСХОДНИК!A:P,15,FALSE())</f>
        <v>U6 PL40R</v>
      </c>
      <c r="K24" s="139">
        <f>VLOOKUP(B24,ИСХОДНИК!A:P,13,FALSE())</f>
        <v>522000</v>
      </c>
      <c r="L24" s="139">
        <f>VLOOKUP(B24,ИСХОДНИК!A:P,14,FALSE())</f>
        <v>605520</v>
      </c>
      <c r="M24" s="140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20" ht="22.5" customHeight="1">
      <c r="B25" s="97" t="s">
        <v>291</v>
      </c>
      <c r="C25" s="98" t="str">
        <f>VLOOKUP(B25,ИСХОДНИК!A:P,5,FALSE())</f>
        <v>CHV 125 G STR PN 52</v>
      </c>
      <c r="D25" s="105" t="s">
        <v>257</v>
      </c>
      <c r="E25" s="134" t="str">
        <f>VLOOKUP(B25,ИСХОДНИК!A:P,11,FALSE())</f>
        <v>Под сварку встык GOST</v>
      </c>
      <c r="F25" s="105">
        <f>VLOOKUP(B25,ИСХОДНИК!A:P,7,FALSE())</f>
        <v>125</v>
      </c>
      <c r="G25" s="137" t="str">
        <f>VLOOKUP(B25,ИСХОДНИК!A:P,10,FALSE())</f>
        <v>R717, R744 и фреоны</v>
      </c>
      <c r="H25" s="137">
        <f>VLOOKUP(B25,ИСХОДНИК!A:P,8,FALSE())</f>
        <v>52</v>
      </c>
      <c r="I25" s="137" t="str">
        <f>VLOOKUP(B25,ИСХОДНИК!A:P,9,FALSE())</f>
        <v xml:space="preserve"> -60…120</v>
      </c>
      <c r="J25" s="105" t="str">
        <f>VLOOKUP(B25,ИСХОДНИК!A:P,15,FALSE())</f>
        <v>U6 PL40R</v>
      </c>
      <c r="K25" s="139">
        <f>VLOOKUP(B25,ИСХОДНИК!A:P,13,FALSE())</f>
        <v>522000</v>
      </c>
      <c r="L25" s="139">
        <f>VLOOKUP(B25,ИСХОДНИК!A:P,14,FALSE())</f>
        <v>605520</v>
      </c>
      <c r="M25" s="140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20" ht="22.5" customHeight="1">
      <c r="B26" s="97" t="s">
        <v>292</v>
      </c>
      <c r="C26" s="98" t="str">
        <f>VLOOKUP(B26,ИСХОДНИК!A:P,5,FALSE())</f>
        <v>CHV 125 D STR PN 40</v>
      </c>
      <c r="D26" s="105" t="s">
        <v>257</v>
      </c>
      <c r="E26" s="134" t="str">
        <f>VLOOKUP(B26,ИСХОДНИК!A:P,11,FALSE())</f>
        <v>Под сварку встык DIN</v>
      </c>
      <c r="F26" s="105">
        <f>VLOOKUP(B26,ИСХОДНИК!A:P,7,FALSE())</f>
        <v>125</v>
      </c>
      <c r="G26" s="137" t="str">
        <f>VLOOKUP(B26,ИСХОДНИК!A:P,10,FALSE())</f>
        <v>R717, R744 и фреоны</v>
      </c>
      <c r="H26" s="137">
        <f>VLOOKUP(B26,ИСХОДНИК!A:P,8,FALSE())</f>
        <v>40</v>
      </c>
      <c r="I26" s="137" t="str">
        <f>VLOOKUP(B26,ИСХОДНИК!A:P,9,FALSE())</f>
        <v xml:space="preserve"> -60…120</v>
      </c>
      <c r="J26" s="105" t="str">
        <f>VLOOKUP(B26,ИСХОДНИК!A:P,15,FALSE())</f>
        <v>U6 PL40R</v>
      </c>
      <c r="K26" s="139">
        <f>VLOOKUP(B26,ИСХОДНИК!A:P,13,FALSE())</f>
        <v>408000</v>
      </c>
      <c r="L26" s="139">
        <f>VLOOKUP(B26,ИСХОДНИК!A:P,14,FALSE())</f>
        <v>473279.99999999994</v>
      </c>
      <c r="M26" s="140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20" ht="22.5" customHeight="1">
      <c r="B27" s="97" t="s">
        <v>293</v>
      </c>
      <c r="C27" s="98" t="str">
        <f>VLOOKUP(B27,ИСХОДНИК!A:P,5,FALSE())</f>
        <v>CHV 125 G STR PN 40</v>
      </c>
      <c r="D27" s="105" t="s">
        <v>257</v>
      </c>
      <c r="E27" s="134" t="str">
        <f>VLOOKUP(B27,ИСХОДНИК!A:P,11,FALSE())</f>
        <v>Под сварку встык GOST</v>
      </c>
      <c r="F27" s="105">
        <f>VLOOKUP(B27,ИСХОДНИК!A:P,7,FALSE())</f>
        <v>125</v>
      </c>
      <c r="G27" s="137" t="str">
        <f>VLOOKUP(B27,ИСХОДНИК!A:P,10,FALSE())</f>
        <v>R717, R744 и фреоны</v>
      </c>
      <c r="H27" s="137">
        <f>VLOOKUP(B27,ИСХОДНИК!A:P,8,FALSE())</f>
        <v>40</v>
      </c>
      <c r="I27" s="137" t="str">
        <f>VLOOKUP(B27,ИСХОДНИК!A:P,9,FALSE())</f>
        <v xml:space="preserve"> -60…120</v>
      </c>
      <c r="J27" s="105" t="str">
        <f>VLOOKUP(B27,ИСХОДНИК!A:P,15,FALSE())</f>
        <v>U6 PL40R</v>
      </c>
      <c r="K27" s="139">
        <f>VLOOKUP(B27,ИСХОДНИК!A:P,13,FALSE())</f>
        <v>408000</v>
      </c>
      <c r="L27" s="139">
        <f>VLOOKUP(B27,ИСХОДНИК!A:P,14,FALSE())</f>
        <v>473279.99999999994</v>
      </c>
      <c r="M27" s="140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20" ht="22.5" customHeight="1">
      <c r="B28" s="97" t="s">
        <v>294</v>
      </c>
      <c r="C28" s="98" t="str">
        <f>VLOOKUP(B28,ИСХОДНИК!A:P,5,FALSE())</f>
        <v>CHV 150 D STR PN 52</v>
      </c>
      <c r="D28" s="105" t="s">
        <v>257</v>
      </c>
      <c r="E28" s="134" t="str">
        <f>VLOOKUP(B28,ИСХОДНИК!A:P,11,FALSE())</f>
        <v>Под сварку встык DIN</v>
      </c>
      <c r="F28" s="105">
        <f>VLOOKUP(B28,ИСХОДНИК!A:P,7,FALSE())</f>
        <v>150</v>
      </c>
      <c r="G28" s="137" t="str">
        <f>VLOOKUP(B28,ИСХОДНИК!A:P,10,FALSE())</f>
        <v>R717, R744 и фреоны</v>
      </c>
      <c r="H28" s="137">
        <f>VLOOKUP(B28,ИСХОДНИК!A:P,8,FALSE())</f>
        <v>52</v>
      </c>
      <c r="I28" s="137" t="str">
        <f>VLOOKUP(B28,ИСХОДНИК!A:P,9,FALSE())</f>
        <v xml:space="preserve"> -60…120</v>
      </c>
      <c r="J28" s="105" t="str">
        <f>VLOOKUP(B28,ИСХОДНИК!A:P,15,FALSE())</f>
        <v>U6 PL40R</v>
      </c>
      <c r="K28" s="139">
        <f>VLOOKUP(B28,ИСХОДНИК!A:P,13,FALSE())</f>
        <v>774000</v>
      </c>
      <c r="L28" s="139">
        <f>VLOOKUP(B28,ИСХОДНИК!A:P,14,FALSE())</f>
        <v>897839.99999999988</v>
      </c>
      <c r="M28" s="140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20" ht="22.5" customHeight="1">
      <c r="B29" s="97" t="s">
        <v>295</v>
      </c>
      <c r="C29" s="98" t="str">
        <f>VLOOKUP(B29,ИСХОДНИК!A:P,5,FALSE())</f>
        <v>CHV 150 G STR PN 52</v>
      </c>
      <c r="D29" s="105" t="s">
        <v>257</v>
      </c>
      <c r="E29" s="134" t="str">
        <f>VLOOKUP(B29,ИСХОДНИК!A:P,11,FALSE())</f>
        <v>Под сварку встык GOST</v>
      </c>
      <c r="F29" s="105">
        <f>VLOOKUP(B29,ИСХОДНИК!A:P,7,FALSE())</f>
        <v>150</v>
      </c>
      <c r="G29" s="137" t="str">
        <f>VLOOKUP(B29,ИСХОДНИК!A:P,10,FALSE())</f>
        <v>R717, R744 и фреоны</v>
      </c>
      <c r="H29" s="137">
        <f>VLOOKUP(B29,ИСХОДНИК!A:P,8,FALSE())</f>
        <v>52</v>
      </c>
      <c r="I29" s="137" t="str">
        <f>VLOOKUP(B29,ИСХОДНИК!A:P,9,FALSE())</f>
        <v xml:space="preserve"> -60…120</v>
      </c>
      <c r="J29" s="105" t="str">
        <f>VLOOKUP(B29,ИСХОДНИК!A:P,15,FALSE())</f>
        <v>U6 PL40R</v>
      </c>
      <c r="K29" s="139">
        <f>VLOOKUP(B29,ИСХОДНИК!A:P,13,FALSE())</f>
        <v>774000</v>
      </c>
      <c r="L29" s="139">
        <f>VLOOKUP(B29,ИСХОДНИК!A:P,14,FALSE())</f>
        <v>897839.99999999988</v>
      </c>
      <c r="M29" s="140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20" ht="22.5" customHeight="1">
      <c r="B30" s="97" t="s">
        <v>296</v>
      </c>
      <c r="C30" s="98" t="str">
        <f>VLOOKUP(B30,ИСХОДНИК!A:P,5,FALSE())</f>
        <v>CHV 150 D STR PN 40</v>
      </c>
      <c r="D30" s="105" t="s">
        <v>257</v>
      </c>
      <c r="E30" s="134" t="str">
        <f>VLOOKUP(B30,ИСХОДНИК!A:P,11,FALSE())</f>
        <v>Под сварку встык DIN</v>
      </c>
      <c r="F30" s="105">
        <f>VLOOKUP(B30,ИСХОДНИК!A:P,7,FALSE())</f>
        <v>150</v>
      </c>
      <c r="G30" s="137" t="str">
        <f>VLOOKUP(B30,ИСХОДНИК!A:P,10,FALSE())</f>
        <v>R717, R744 и фреоны</v>
      </c>
      <c r="H30" s="137">
        <f>VLOOKUP(B30,ИСХОДНИК!A:P,8,FALSE())</f>
        <v>40</v>
      </c>
      <c r="I30" s="137" t="str">
        <f>VLOOKUP(B30,ИСХОДНИК!A:P,9,FALSE())</f>
        <v xml:space="preserve"> -60…120</v>
      </c>
      <c r="J30" s="105" t="str">
        <f>VLOOKUP(B30,ИСХОДНИК!A:P,15,FALSE())</f>
        <v>U6 PL40R</v>
      </c>
      <c r="K30" s="139">
        <f>VLOOKUP(B30,ИСХОДНИК!A:P,13,FALSE())</f>
        <v>600000</v>
      </c>
      <c r="L30" s="139">
        <f>VLOOKUP(B30,ИСХОДНИК!A:P,14,FALSE())</f>
        <v>696000</v>
      </c>
      <c r="M30" s="140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20" ht="22.5" customHeight="1">
      <c r="B31" s="97" t="s">
        <v>297</v>
      </c>
      <c r="C31" s="98" t="str">
        <f>VLOOKUP(B31,ИСХОДНИК!A:P,5,FALSE())</f>
        <v>CHV 150 G STR PN 40</v>
      </c>
      <c r="D31" s="105" t="s">
        <v>257</v>
      </c>
      <c r="E31" s="134" t="str">
        <f>VLOOKUP(B31,ИСХОДНИК!A:P,11,FALSE())</f>
        <v>Под сварку встык GOST</v>
      </c>
      <c r="F31" s="105">
        <f>VLOOKUP(B31,ИСХОДНИК!A:P,7,FALSE())</f>
        <v>150</v>
      </c>
      <c r="G31" s="137" t="str">
        <f>VLOOKUP(B31,ИСХОДНИК!A:P,10,FALSE())</f>
        <v>R717, R744 и фреоны</v>
      </c>
      <c r="H31" s="137">
        <f>VLOOKUP(B31,ИСХОДНИК!A:P,8,FALSE())</f>
        <v>40</v>
      </c>
      <c r="I31" s="137" t="str">
        <f>VLOOKUP(B31,ИСХОДНИК!A:P,9,FALSE())</f>
        <v xml:space="preserve"> -60…120</v>
      </c>
      <c r="J31" s="105" t="str">
        <f>VLOOKUP(B31,ИСХОДНИК!A:P,15,FALSE())</f>
        <v>U6 PL40R</v>
      </c>
      <c r="K31" s="139">
        <f>VLOOKUP(B31,ИСХОДНИК!A:P,13,FALSE())</f>
        <v>600000</v>
      </c>
      <c r="L31" s="139">
        <f>VLOOKUP(B31,ИСХОДНИК!A:P,14,FALSE())</f>
        <v>696000</v>
      </c>
      <c r="M31" s="140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20" ht="22.5" customHeight="1">
      <c r="B32" s="515" t="s">
        <v>298</v>
      </c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</row>
    <row r="33" spans="2:13" ht="22.5" customHeight="1">
      <c r="B33" s="153" t="s">
        <v>299</v>
      </c>
      <c r="C33" s="196" t="str">
        <f>VLOOKUP(B33,ИСХОДНИК!A:P,5,FALSE())</f>
        <v>CHV 15 D ANG PN 52</v>
      </c>
      <c r="D33" s="182" t="s">
        <v>267</v>
      </c>
      <c r="E33" s="197" t="str">
        <f>VLOOKUP(B33,ИСХОДНИК!A:P,11,FALSE())</f>
        <v>Под сварку встык DIN</v>
      </c>
      <c r="F33" s="182">
        <f>VLOOKUP(B33,ИСХОДНИК!A:P,7,FALSE())</f>
        <v>15</v>
      </c>
      <c r="G33" s="181" t="str">
        <f>VLOOKUP(B33,ИСХОДНИК!A:P,10,FALSE())</f>
        <v>R717, R744 и фреоны</v>
      </c>
      <c r="H33" s="181">
        <f>VLOOKUP(B33,ИСХОДНИК!A:P,8,FALSE())</f>
        <v>52</v>
      </c>
      <c r="I33" s="181" t="str">
        <f>VLOOKUP(B33,ИСХОДНИК!A:P,9,FALSE())</f>
        <v xml:space="preserve"> -60…120</v>
      </c>
      <c r="J33" s="182" t="str">
        <f>VLOOKUP(B33,ИСХОДНИК!A:P,15,FALSE())</f>
        <v>U6 PL40R</v>
      </c>
      <c r="K33" s="243">
        <f>VLOOKUP(B33,ИСХОДНИК!A:P,13,FALSE())</f>
        <v>36000</v>
      </c>
      <c r="L33" s="243">
        <f>VLOOKUP(B33,ИСХОДНИК!A:P,14,FALSE())</f>
        <v>41760</v>
      </c>
      <c r="M33" s="198" t="str">
        <f>IF(VLOOKUP(B33,ИСХОДНИК!A:R,18,FALSE())=1,ИСХОДНИК!$T$2,IF(VLOOKUP(B33,ИСХОДНИК!A:R,18,FALSE())=2,ИСХОДНИК!$T$5,IF(VLOOKUP(B33,ИСХОДНИК!A:R,18,FALSE())=3,ИСХОДНИК!$T$6)))</f>
        <v>○</v>
      </c>
    </row>
    <row r="34" spans="2:13" ht="22.5" customHeight="1">
      <c r="B34" s="97" t="s">
        <v>300</v>
      </c>
      <c r="C34" s="196" t="str">
        <f>VLOOKUP(B34,ИСХОДНИК!A:P,5,FALSE())</f>
        <v>CHV 20 D ANG PN 52</v>
      </c>
      <c r="D34" s="105" t="s">
        <v>267</v>
      </c>
      <c r="E34" s="197" t="str">
        <f>VLOOKUP(B34,ИСХОДНИК!A:P,11,FALSE())</f>
        <v>Под сварку встык DIN</v>
      </c>
      <c r="F34" s="182">
        <f>VLOOKUP(B34,ИСХОДНИК!A:P,7,FALSE())</f>
        <v>20</v>
      </c>
      <c r="G34" s="137" t="str">
        <f>VLOOKUP(B34,ИСХОДНИК!A:P,10,FALSE())</f>
        <v>R717, R744 и фреоны</v>
      </c>
      <c r="H34" s="181">
        <f>VLOOKUP(B34,ИСХОДНИК!A:P,8,FALSE())</f>
        <v>52</v>
      </c>
      <c r="I34" s="137" t="str">
        <f>VLOOKUP(B34,ИСХОДНИК!A:P,9,FALSE())</f>
        <v xml:space="preserve"> -60…120</v>
      </c>
      <c r="J34" s="182" t="str">
        <f>VLOOKUP(B34,ИСХОДНИК!A:P,15,FALSE())</f>
        <v>U6 PL40R</v>
      </c>
      <c r="K34" s="139">
        <f>VLOOKUP(B34,ИСХОДНИК!A:P,13,FALSE())</f>
        <v>38400</v>
      </c>
      <c r="L34" s="139">
        <f>VLOOKUP(B34,ИСХОДНИК!A:P,14,FALSE())</f>
        <v>44544</v>
      </c>
      <c r="M34" s="198" t="str">
        <f>IF(VLOOKUP(B34,ИСХОДНИК!A:R,18,FALSE())=1,ИСХОДНИК!$T$2,IF(VLOOKUP(B34,ИСХОДНИК!A:R,18,FALSE())=2,ИСХОДНИК!$T$5,IF(VLOOKUP(B34,ИСХОДНИК!A:R,18,FALSE())=3,ИСХОДНИК!$T$6)))</f>
        <v>○</v>
      </c>
    </row>
    <row r="35" spans="2:13" ht="22.5" customHeight="1">
      <c r="B35" s="97" t="s">
        <v>301</v>
      </c>
      <c r="C35" s="196" t="str">
        <f>VLOOKUP(B35,ИСХОДНИК!A:P,5,FALSE())</f>
        <v>CHV 25 D ANG PN 52</v>
      </c>
      <c r="D35" s="105" t="s">
        <v>267</v>
      </c>
      <c r="E35" s="197" t="str">
        <f>VLOOKUP(B35,ИСХОДНИК!A:P,11,FALSE())</f>
        <v>Под сварку встык DIN</v>
      </c>
      <c r="F35" s="182">
        <f>VLOOKUP(B35,ИСХОДНИК!A:P,7,FALSE())</f>
        <v>25</v>
      </c>
      <c r="G35" s="137" t="str">
        <f>VLOOKUP(B35,ИСХОДНИК!A:P,10,FALSE())</f>
        <v>R717, R744 и фреоны</v>
      </c>
      <c r="H35" s="181">
        <f>VLOOKUP(B35,ИСХОДНИК!A:P,8,FALSE())</f>
        <v>52</v>
      </c>
      <c r="I35" s="137" t="str">
        <f>VLOOKUP(B35,ИСХОДНИК!A:P,9,FALSE())</f>
        <v xml:space="preserve"> -60…120</v>
      </c>
      <c r="J35" s="182" t="str">
        <f>VLOOKUP(B35,ИСХОДНИК!A:P,15,FALSE())</f>
        <v>U6 PL40R</v>
      </c>
      <c r="K35" s="139">
        <f>VLOOKUP(B35,ИСХОДНИК!A:P,13,FALSE())</f>
        <v>48000</v>
      </c>
      <c r="L35" s="139">
        <f>VLOOKUP(B35,ИСХОДНИК!A:P,14,FALSE())</f>
        <v>55679.999999999993</v>
      </c>
      <c r="M35" s="199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2:13" ht="22.5" customHeight="1">
      <c r="B36" s="97" t="s">
        <v>302</v>
      </c>
      <c r="C36" s="196" t="str">
        <f>VLOOKUP(B36,ИСХОДНИК!A:P,5,FALSE())</f>
        <v>CHV 32 D ANG PN 52</v>
      </c>
      <c r="D36" s="105" t="s">
        <v>267</v>
      </c>
      <c r="E36" s="197" t="str">
        <f>VLOOKUP(B36,ИСХОДНИК!A:P,11,FALSE())</f>
        <v>Под сварку встык DIN</v>
      </c>
      <c r="F36" s="182">
        <f>VLOOKUP(B36,ИСХОДНИК!A:P,7,FALSE())</f>
        <v>32</v>
      </c>
      <c r="G36" s="137" t="str">
        <f>VLOOKUP(B36,ИСХОДНИК!A:P,10,FALSE())</f>
        <v>R717, R744 и фреоны</v>
      </c>
      <c r="H36" s="181">
        <f>VLOOKUP(B36,ИСХОДНИК!A:P,8,FALSE())</f>
        <v>52</v>
      </c>
      <c r="I36" s="137" t="str">
        <f>VLOOKUP(B36,ИСХОДНИК!A:P,9,FALSE())</f>
        <v xml:space="preserve"> -60…120</v>
      </c>
      <c r="J36" s="182" t="str">
        <f>VLOOKUP(B36,ИСХОДНИК!A:P,15,FALSE())</f>
        <v>U6 PL40R</v>
      </c>
      <c r="K36" s="139">
        <f>VLOOKUP(B36,ИСХОДНИК!A:P,13,FALSE())</f>
        <v>58800</v>
      </c>
      <c r="L36" s="139">
        <f>VLOOKUP(B36,ИСХОДНИК!A:P,14,FALSE())</f>
        <v>68208</v>
      </c>
      <c r="M36" s="198" t="str">
        <f>IF(VLOOKUP(B36,ИСХОДНИК!A:R,18,FALSE())=1,ИСХОДНИК!$T$2,IF(VLOOKUP(B36,ИСХОДНИК!A:R,18,FALSE())=2,ИСХОДНИК!$T$5,IF(VLOOKUP(B36,ИСХОДНИК!A:R,18,FALSE())=3,ИСХОДНИК!$T$6)))</f>
        <v>○</v>
      </c>
    </row>
    <row r="37" spans="2:13" ht="22.5" customHeight="1">
      <c r="B37" s="97" t="s">
        <v>303</v>
      </c>
      <c r="C37" s="196" t="str">
        <f>VLOOKUP(B37,ИСХОДНИК!A:P,5,FALSE())</f>
        <v>CHV 40 D ANG PN 52</v>
      </c>
      <c r="D37" s="105" t="s">
        <v>267</v>
      </c>
      <c r="E37" s="197" t="str">
        <f>VLOOKUP(B37,ИСХОДНИК!A:P,11,FALSE())</f>
        <v>Под сварку встык DIN</v>
      </c>
      <c r="F37" s="182">
        <f>VLOOKUP(B37,ИСХОДНИК!A:P,7,FALSE())</f>
        <v>40</v>
      </c>
      <c r="G37" s="137" t="str">
        <f>VLOOKUP(B37,ИСХОДНИК!A:P,10,FALSE())</f>
        <v>R717, R744 и фреоны</v>
      </c>
      <c r="H37" s="181">
        <f>VLOOKUP(B37,ИСХОДНИК!A:P,8,FALSE())</f>
        <v>52</v>
      </c>
      <c r="I37" s="137" t="str">
        <f>VLOOKUP(B37,ИСХОДНИК!A:P,9,FALSE())</f>
        <v xml:space="preserve"> -60…120</v>
      </c>
      <c r="J37" s="182" t="str">
        <f>VLOOKUP(B37,ИСХОДНИК!A:P,15,FALSE())</f>
        <v>U6 PL40R</v>
      </c>
      <c r="K37" s="139">
        <f>VLOOKUP(B37,ИСХОДНИК!A:P,13,FALSE())</f>
        <v>75600</v>
      </c>
      <c r="L37" s="139">
        <f>VLOOKUP(B37,ИСХОДНИК!A:P,14,FALSE())</f>
        <v>87696</v>
      </c>
      <c r="M37" s="199" t="str">
        <f>IF(VLOOKUP(B37,ИСХОДНИК!A:R,18,FALSE())=1,ИСХОДНИК!$T$2,IF(VLOOKUP(B37,ИСХОДНИК!A:R,18,FALSE())=2,ИСХОДНИК!$T$5,IF(VLOOKUP(B37,ИСХОДНИК!A:R,18,FALSE())=3,ИСХОДНИК!$T$6)))</f>
        <v>◑</v>
      </c>
    </row>
    <row r="38" spans="2:13" ht="22.5" customHeight="1">
      <c r="B38" s="97" t="s">
        <v>304</v>
      </c>
      <c r="C38" s="196" t="str">
        <f>VLOOKUP(B38,ИСХОДНИК!A:P,5,FALSE())</f>
        <v>CHV 50 D ANG PN 52</v>
      </c>
      <c r="D38" s="105" t="s">
        <v>267</v>
      </c>
      <c r="E38" s="197" t="str">
        <f>VLOOKUP(B38,ИСХОДНИК!A:P,11,FALSE())</f>
        <v>Под сварку встык DIN</v>
      </c>
      <c r="F38" s="182">
        <f>VLOOKUP(B38,ИСХОДНИК!A:P,7,FALSE())</f>
        <v>50</v>
      </c>
      <c r="G38" s="137" t="str">
        <f>VLOOKUP(B38,ИСХОДНИК!A:P,10,FALSE())</f>
        <v>R717, R744 и фреоны</v>
      </c>
      <c r="H38" s="181">
        <f>VLOOKUP(B38,ИСХОДНИК!A:P,8,FALSE())</f>
        <v>52</v>
      </c>
      <c r="I38" s="137" t="str">
        <f>VLOOKUP(B38,ИСХОДНИК!A:P,9,FALSE())</f>
        <v xml:space="preserve"> -60…120</v>
      </c>
      <c r="J38" s="182" t="str">
        <f>VLOOKUP(B38,ИСХОДНИК!A:P,15,FALSE())</f>
        <v>U6 PL40R</v>
      </c>
      <c r="K38" s="139">
        <f>VLOOKUP(B38,ИСХОДНИК!A:P,13,FALSE())</f>
        <v>90000</v>
      </c>
      <c r="L38" s="139">
        <f>VLOOKUP(B38,ИСХОДНИК!A:P,14,FALSE())</f>
        <v>104400</v>
      </c>
      <c r="M38" s="198" t="str">
        <f>IF(VLOOKUP(B38,ИСХОДНИК!A:R,18,FALSE())=1,ИСХОДНИК!$T$2,IF(VLOOKUP(B38,ИСХОДНИК!A:R,18,FALSE())=2,ИСХОДНИК!$T$5,IF(VLOOKUP(B38,ИСХОДНИК!A:R,18,FALSE())=3,ИСХОДНИК!$T$6)))</f>
        <v>●</v>
      </c>
    </row>
    <row r="39" spans="2:13" ht="22.5" customHeight="1">
      <c r="B39" s="97" t="s">
        <v>305</v>
      </c>
      <c r="C39" s="196" t="str">
        <f>VLOOKUP(B39,ИСХОДНИК!A:P,5,FALSE())</f>
        <v>CHV 65 D ANG PN 52</v>
      </c>
      <c r="D39" s="105" t="s">
        <v>267</v>
      </c>
      <c r="E39" s="197" t="str">
        <f>VLOOKUP(B39,ИСХОДНИК!A:P,11,FALSE())</f>
        <v>Под сварку встык DIN</v>
      </c>
      <c r="F39" s="182">
        <f>VLOOKUP(B39,ИСХОДНИК!A:P,7,FALSE())</f>
        <v>65</v>
      </c>
      <c r="G39" s="137" t="str">
        <f>VLOOKUP(B39,ИСХОДНИК!A:P,10,FALSE())</f>
        <v>R717, R744 и фреоны</v>
      </c>
      <c r="H39" s="181">
        <f>VLOOKUP(B39,ИСХОДНИК!A:P,8,FALSE())</f>
        <v>52</v>
      </c>
      <c r="I39" s="137" t="str">
        <f>VLOOKUP(B39,ИСХОДНИК!A:P,9,FALSE())</f>
        <v xml:space="preserve"> -60…120</v>
      </c>
      <c r="J39" s="182" t="str">
        <f>VLOOKUP(B39,ИСХОДНИК!A:P,15,FALSE())</f>
        <v>U6 PL40R</v>
      </c>
      <c r="K39" s="139">
        <f>VLOOKUP(B39,ИСХОДНИК!A:P,13,FALSE())</f>
        <v>126000</v>
      </c>
      <c r="L39" s="139">
        <f>VLOOKUP(B39,ИСХОДНИК!A:P,14,FALSE())</f>
        <v>146160</v>
      </c>
      <c r="M39" s="198" t="str">
        <f>IF(VLOOKUP(B39,ИСХОДНИК!A:R,18,FALSE())=1,ИСХОДНИК!$T$2,IF(VLOOKUP(B39,ИСХОДНИК!A:R,18,FALSE())=2,ИСХОДНИК!$T$5,IF(VLOOKUP(B39,ИСХОДНИК!A:R,18,FALSE())=3,ИСХОДНИК!$T$6)))</f>
        <v>●</v>
      </c>
    </row>
    <row r="40" spans="2:13" ht="22.5" customHeight="1">
      <c r="B40" s="97" t="s">
        <v>306</v>
      </c>
      <c r="C40" s="196" t="str">
        <f>VLOOKUP(B40,ИСХОДНИК!A:P,5,FALSE())</f>
        <v>CHV 80 D ANG PN 52</v>
      </c>
      <c r="D40" s="105" t="s">
        <v>267</v>
      </c>
      <c r="E40" s="197" t="str">
        <f>VLOOKUP(B40,ИСХОДНИК!A:P,11,FALSE())</f>
        <v>Под сварку встык DIN</v>
      </c>
      <c r="F40" s="182">
        <f>VLOOKUP(B40,ИСХОДНИК!A:P,7,FALSE())</f>
        <v>80</v>
      </c>
      <c r="G40" s="137" t="str">
        <f>VLOOKUP(B40,ИСХОДНИК!A:P,10,FALSE())</f>
        <v>R717, R744 и фреоны</v>
      </c>
      <c r="H40" s="181">
        <f>VLOOKUP(B40,ИСХОДНИК!A:P,8,FALSE())</f>
        <v>52</v>
      </c>
      <c r="I40" s="137" t="str">
        <f>VLOOKUP(B40,ИСХОДНИК!A:P,9,FALSE())</f>
        <v xml:space="preserve"> -60…120</v>
      </c>
      <c r="J40" s="182" t="str">
        <f>VLOOKUP(B40,ИСХОДНИК!A:P,15,FALSE())</f>
        <v>U6 PL40R</v>
      </c>
      <c r="K40" s="139">
        <f>VLOOKUP(B40,ИСХОДНИК!A:P,13,FALSE())</f>
        <v>150000</v>
      </c>
      <c r="L40" s="139">
        <f>VLOOKUP(B40,ИСХОДНИК!A:P,14,FALSE())</f>
        <v>174000</v>
      </c>
      <c r="M40" s="199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2:13" ht="22.5" customHeight="1">
      <c r="B41" s="97" t="s">
        <v>307</v>
      </c>
      <c r="C41" s="196" t="str">
        <f>VLOOKUP(B41,ИСХОДНИК!A:P,5,FALSE())</f>
        <v>CHV 100 D ANG PN 52</v>
      </c>
      <c r="D41" s="105" t="s">
        <v>267</v>
      </c>
      <c r="E41" s="197" t="str">
        <f>VLOOKUP(B41,ИСХОДНИК!A:P,11,FALSE())</f>
        <v>Под сварку встык DIN</v>
      </c>
      <c r="F41" s="182">
        <f>VLOOKUP(B41,ИСХОДНИК!A:P,7,FALSE())</f>
        <v>100</v>
      </c>
      <c r="G41" s="137" t="str">
        <f>VLOOKUP(B41,ИСХОДНИК!A:P,10,FALSE())</f>
        <v>R717, R744 и фреоны</v>
      </c>
      <c r="H41" s="181">
        <f>VLOOKUP(B41,ИСХОДНИК!A:P,8,FALSE())</f>
        <v>52</v>
      </c>
      <c r="I41" s="137" t="str">
        <f>VLOOKUP(B41,ИСХОДНИК!A:P,9,FALSE())</f>
        <v xml:space="preserve"> -60…120</v>
      </c>
      <c r="J41" s="182" t="str">
        <f>VLOOKUP(B41,ИСХОДНИК!A:P,15,FALSE())</f>
        <v>U6 PL40R</v>
      </c>
      <c r="K41" s="139">
        <f>VLOOKUP(B41,ИСХОДНИК!A:P,13,FALSE())</f>
        <v>276000</v>
      </c>
      <c r="L41" s="139">
        <f>VLOOKUP(B41,ИСХОДНИК!A:P,14,FALSE())</f>
        <v>320160</v>
      </c>
      <c r="M41" s="198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3" ht="22.5" customHeight="1">
      <c r="B42" s="97" t="s">
        <v>308</v>
      </c>
      <c r="C42" s="196" t="str">
        <f>VLOOKUP(B42,ИСХОДНИК!A:P,5,FALSE())</f>
        <v>CHV 100 G ANG PN 52</v>
      </c>
      <c r="D42" s="105" t="s">
        <v>267</v>
      </c>
      <c r="E42" s="197" t="str">
        <f>VLOOKUP(B42,ИСХОДНИК!A:P,11,FALSE())</f>
        <v>Под сварку встык GOST</v>
      </c>
      <c r="F42" s="182">
        <f>VLOOKUP(B42,ИСХОДНИК!A:P,7,FALSE())</f>
        <v>100</v>
      </c>
      <c r="G42" s="137" t="str">
        <f>VLOOKUP(B42,ИСХОДНИК!A:P,10,FALSE())</f>
        <v>R717, R744 и фреоны</v>
      </c>
      <c r="H42" s="181">
        <f>VLOOKUP(B42,ИСХОДНИК!A:P,8,FALSE())</f>
        <v>52</v>
      </c>
      <c r="I42" s="137" t="str">
        <f>VLOOKUP(B42,ИСХОДНИК!A:P,9,FALSE())</f>
        <v xml:space="preserve"> -60…120</v>
      </c>
      <c r="J42" s="182" t="str">
        <f>VLOOKUP(B42,ИСХОДНИК!A:P,15,FALSE())</f>
        <v>U6 PL40R</v>
      </c>
      <c r="K42" s="139">
        <f>VLOOKUP(B42,ИСХОДНИК!A:P,13,FALSE())</f>
        <v>276000</v>
      </c>
      <c r="L42" s="139">
        <f>VLOOKUP(B42,ИСХОДНИК!A:P,14,FALSE())</f>
        <v>320160</v>
      </c>
      <c r="M42" s="198" t="str">
        <f>IF(VLOOKUP(B42,ИСХОДНИК!A:R,18,FALSE())=1,ИСХОДНИК!$T$2,IF(VLOOKUP(B42,ИСХОДНИК!A:R,18,FALSE())=2,ИСХОДНИК!$T$5,IF(VLOOKUP(B42,ИСХОДНИК!A:R,18,FALSE())=3,ИСХОДНИК!$T$6)))</f>
        <v>○</v>
      </c>
    </row>
    <row r="43" spans="2:13" ht="22.5" customHeight="1">
      <c r="B43" s="97" t="s">
        <v>309</v>
      </c>
      <c r="C43" s="196" t="str">
        <f>VLOOKUP(B43,ИСХОДНИК!A:P,5,FALSE())</f>
        <v>CHV 100 D ANG PN 40</v>
      </c>
      <c r="D43" s="105" t="s">
        <v>267</v>
      </c>
      <c r="E43" s="197" t="str">
        <f>VLOOKUP(B43,ИСХОДНИК!A:P,11,FALSE())</f>
        <v>Под сварку встык DIN</v>
      </c>
      <c r="F43" s="182">
        <f>VLOOKUP(B43,ИСХОДНИК!A:P,7,FALSE())</f>
        <v>100</v>
      </c>
      <c r="G43" s="137" t="str">
        <f>VLOOKUP(B43,ИСХОДНИК!A:P,10,FALSE())</f>
        <v>R717, R744 и фреоны</v>
      </c>
      <c r="H43" s="181">
        <f>VLOOKUP(B43,ИСХОДНИК!A:P,8,FALSE())</f>
        <v>40</v>
      </c>
      <c r="I43" s="137" t="str">
        <f>VLOOKUP(B43,ИСХОДНИК!A:P,9,FALSE())</f>
        <v xml:space="preserve"> -60…120</v>
      </c>
      <c r="J43" s="182" t="str">
        <f>VLOOKUP(B43,ИСХОДНИК!A:P,15,FALSE())</f>
        <v>U6 PL40R</v>
      </c>
      <c r="K43" s="139">
        <f>VLOOKUP(B43,ИСХОДНИК!A:P,13,FALSE())</f>
        <v>234000</v>
      </c>
      <c r="L43" s="139">
        <f>VLOOKUP(B43,ИСХОДНИК!A:P,14,FALSE())</f>
        <v>271440</v>
      </c>
      <c r="M43" s="198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3" ht="22.5" customHeight="1">
      <c r="B44" s="97" t="s">
        <v>310</v>
      </c>
      <c r="C44" s="196" t="str">
        <f>VLOOKUP(B44,ИСХОДНИК!A:P,5,FALSE())</f>
        <v>CHV 100 G ANG PN 40</v>
      </c>
      <c r="D44" s="105" t="s">
        <v>267</v>
      </c>
      <c r="E44" s="197" t="str">
        <f>VLOOKUP(B44,ИСХОДНИК!A:P,11,FALSE())</f>
        <v>Под сварку встык GOST</v>
      </c>
      <c r="F44" s="182">
        <f>VLOOKUP(B44,ИСХОДНИК!A:P,7,FALSE())</f>
        <v>100</v>
      </c>
      <c r="G44" s="137" t="str">
        <f>VLOOKUP(B44,ИСХОДНИК!A:P,10,FALSE())</f>
        <v>R717, R744 и фреоны</v>
      </c>
      <c r="H44" s="181">
        <f>VLOOKUP(B44,ИСХОДНИК!A:P,8,FALSE())</f>
        <v>40</v>
      </c>
      <c r="I44" s="137" t="str">
        <f>VLOOKUP(B44,ИСХОДНИК!A:P,9,FALSE())</f>
        <v xml:space="preserve"> -60…120</v>
      </c>
      <c r="J44" s="182" t="str">
        <f>VLOOKUP(B44,ИСХОДНИК!A:P,15,FALSE())</f>
        <v>U6 PL40R</v>
      </c>
      <c r="K44" s="139">
        <f>VLOOKUP(B44,ИСХОДНИК!A:P,13,FALSE())</f>
        <v>234000</v>
      </c>
      <c r="L44" s="139">
        <f>VLOOKUP(B44,ИСХОДНИК!A:P,14,FALSE())</f>
        <v>271440</v>
      </c>
      <c r="M44" s="198" t="str">
        <f>IF(VLOOKUP(B44,ИСХОДНИК!A:R,18,FALSE())=1,ИСХОДНИК!$T$2,IF(VLOOKUP(B44,ИСХОДНИК!A:R,18,FALSE())=2,ИСХОДНИК!$T$5,IF(VLOOKUP(B44,ИСХОДНИК!A:R,18,FALSE())=3,ИСХОДНИК!$T$6)))</f>
        <v>○</v>
      </c>
    </row>
    <row r="45" spans="2:13" ht="22.5" customHeight="1">
      <c r="B45" s="97" t="s">
        <v>311</v>
      </c>
      <c r="C45" s="196" t="str">
        <f>VLOOKUP(B45,ИСХОДНИК!A:P,5,FALSE())</f>
        <v>CHV 125 D ANG PN 52</v>
      </c>
      <c r="D45" s="105" t="s">
        <v>267</v>
      </c>
      <c r="E45" s="197" t="str">
        <f>VLOOKUP(B45,ИСХОДНИК!A:P,11,FALSE())</f>
        <v>Под сварку встык DIN</v>
      </c>
      <c r="F45" s="182">
        <f>VLOOKUP(B45,ИСХОДНИК!A:P,7,FALSE())</f>
        <v>125</v>
      </c>
      <c r="G45" s="137" t="str">
        <f>VLOOKUP(B45,ИСХОДНИК!A:P,10,FALSE())</f>
        <v>R717, R744 и фреоны</v>
      </c>
      <c r="H45" s="181">
        <f>VLOOKUP(B45,ИСХОДНИК!A:P,8,FALSE())</f>
        <v>52</v>
      </c>
      <c r="I45" s="137" t="str">
        <f>VLOOKUP(B45,ИСХОДНИК!A:P,9,FALSE())</f>
        <v xml:space="preserve"> -60…120</v>
      </c>
      <c r="J45" s="182" t="str">
        <f>VLOOKUP(B45,ИСХОДНИК!A:P,15,FALSE())</f>
        <v>U6 PL40R</v>
      </c>
      <c r="K45" s="139">
        <f>VLOOKUP(B45,ИСХОДНИК!A:P,13,FALSE())</f>
        <v>522000</v>
      </c>
      <c r="L45" s="139">
        <f>VLOOKUP(B45,ИСХОДНИК!A:P,14,FALSE())</f>
        <v>605520</v>
      </c>
      <c r="M45" s="198" t="str">
        <f>IF(VLOOKUP(B45,ИСХОДНИК!A:R,18,FALSE())=1,ИСХОДНИК!$T$2,IF(VLOOKUP(B45,ИСХОДНИК!A:R,18,FALSE())=2,ИСХОДНИК!$T$5,IF(VLOOKUP(B45,ИСХОДНИК!A:R,18,FALSE())=3,ИСХОДНИК!$T$6)))</f>
        <v>○</v>
      </c>
    </row>
    <row r="46" spans="2:13" ht="22.5" customHeight="1">
      <c r="B46" s="97" t="s">
        <v>312</v>
      </c>
      <c r="C46" s="196" t="str">
        <f>VLOOKUP(B46,ИСХОДНИК!A:P,5,FALSE())</f>
        <v>CHV 125 G ANG PN 52</v>
      </c>
      <c r="D46" s="105" t="s">
        <v>267</v>
      </c>
      <c r="E46" s="197" t="str">
        <f>VLOOKUP(B46,ИСХОДНИК!A:P,11,FALSE())</f>
        <v>Под сварку встык GOST</v>
      </c>
      <c r="F46" s="182">
        <f>VLOOKUP(B46,ИСХОДНИК!A:P,7,FALSE())</f>
        <v>125</v>
      </c>
      <c r="G46" s="137" t="str">
        <f>VLOOKUP(B46,ИСХОДНИК!A:P,10,FALSE())</f>
        <v>R717, R744 и фреоны</v>
      </c>
      <c r="H46" s="181">
        <f>VLOOKUP(B46,ИСХОДНИК!A:P,8,FALSE())</f>
        <v>52</v>
      </c>
      <c r="I46" s="137" t="str">
        <f>VLOOKUP(B46,ИСХОДНИК!A:P,9,FALSE())</f>
        <v xml:space="preserve"> -60…120</v>
      </c>
      <c r="J46" s="182" t="str">
        <f>VLOOKUP(B46,ИСХОДНИК!A:P,15,FALSE())</f>
        <v>U6 PL40R</v>
      </c>
      <c r="K46" s="139">
        <f>VLOOKUP(B46,ИСХОДНИК!A:P,13,FALSE())</f>
        <v>522000</v>
      </c>
      <c r="L46" s="139">
        <f>VLOOKUP(B46,ИСХОДНИК!A:P,14,FALSE())</f>
        <v>605520</v>
      </c>
      <c r="M46" s="198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3" ht="22.5" customHeight="1">
      <c r="B47" s="97" t="s">
        <v>313</v>
      </c>
      <c r="C47" s="196" t="str">
        <f>VLOOKUP(B47,ИСХОДНИК!A:P,5,FALSE())</f>
        <v>CHV 125 D ANG PN 40</v>
      </c>
      <c r="D47" s="105" t="s">
        <v>267</v>
      </c>
      <c r="E47" s="197" t="str">
        <f>VLOOKUP(B47,ИСХОДНИК!A:P,11,FALSE())</f>
        <v>Под сварку встык DIN</v>
      </c>
      <c r="F47" s="182">
        <f>VLOOKUP(B47,ИСХОДНИК!A:P,7,FALSE())</f>
        <v>125</v>
      </c>
      <c r="G47" s="137" t="str">
        <f>VLOOKUP(B47,ИСХОДНИК!A:P,10,FALSE())</f>
        <v>R717, R744 и фреоны</v>
      </c>
      <c r="H47" s="181">
        <f>VLOOKUP(B47,ИСХОДНИК!A:P,8,FALSE())</f>
        <v>40</v>
      </c>
      <c r="I47" s="137" t="str">
        <f>VLOOKUP(B47,ИСХОДНИК!A:P,9,FALSE())</f>
        <v xml:space="preserve"> -60…120</v>
      </c>
      <c r="J47" s="182" t="str">
        <f>VLOOKUP(B47,ИСХОДНИК!A:P,15,FALSE())</f>
        <v>U6 PL40R</v>
      </c>
      <c r="K47" s="139">
        <f>VLOOKUP(B47,ИСХОДНИК!A:P,13,FALSE())</f>
        <v>408000</v>
      </c>
      <c r="L47" s="139">
        <f>VLOOKUP(B47,ИСХОДНИК!A:P,14,FALSE())</f>
        <v>473279.99999999994</v>
      </c>
      <c r="M47" s="198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3" ht="22.5" customHeight="1">
      <c r="B48" s="97" t="s">
        <v>314</v>
      </c>
      <c r="C48" s="196" t="str">
        <f>VLOOKUP(B48,ИСХОДНИК!A:P,5,FALSE())</f>
        <v>CHV 125 G ANG PN 40</v>
      </c>
      <c r="D48" s="105" t="s">
        <v>267</v>
      </c>
      <c r="E48" s="197" t="str">
        <f>VLOOKUP(B48,ИСХОДНИК!A:P,11,FALSE())</f>
        <v>Под сварку встык GOST</v>
      </c>
      <c r="F48" s="182">
        <f>VLOOKUP(B48,ИСХОДНИК!A:P,7,FALSE())</f>
        <v>125</v>
      </c>
      <c r="G48" s="137" t="str">
        <f>VLOOKUP(B48,ИСХОДНИК!A:P,10,FALSE())</f>
        <v>R717, R744 и фреоны</v>
      </c>
      <c r="H48" s="181">
        <f>VLOOKUP(B48,ИСХОДНИК!A:P,8,FALSE())</f>
        <v>40</v>
      </c>
      <c r="I48" s="137" t="str">
        <f>VLOOKUP(B48,ИСХОДНИК!A:P,9,FALSE())</f>
        <v xml:space="preserve"> -60…120</v>
      </c>
      <c r="J48" s="182" t="str">
        <f>VLOOKUP(B48,ИСХОДНИК!A:P,15,FALSE())</f>
        <v>U6 PL40R</v>
      </c>
      <c r="K48" s="139">
        <f>VLOOKUP(B48,ИСХОДНИК!A:P,13,FALSE())</f>
        <v>408000</v>
      </c>
      <c r="L48" s="139">
        <f>VLOOKUP(B48,ИСХОДНИК!A:P,14,FALSE())</f>
        <v>473279.99999999994</v>
      </c>
      <c r="M48" s="198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3" ht="22.5" customHeight="1">
      <c r="B49" s="97" t="s">
        <v>315</v>
      </c>
      <c r="C49" s="196" t="str">
        <f>VLOOKUP(B49,ИСХОДНИК!A:P,5,FALSE())</f>
        <v>CHV 150 D ANG PN 52</v>
      </c>
      <c r="D49" s="105" t="s">
        <v>267</v>
      </c>
      <c r="E49" s="197" t="str">
        <f>VLOOKUP(B49,ИСХОДНИК!A:P,11,FALSE())</f>
        <v>Под сварку встык DIN</v>
      </c>
      <c r="F49" s="182">
        <f>VLOOKUP(B49,ИСХОДНИК!A:P,7,FALSE())</f>
        <v>150</v>
      </c>
      <c r="G49" s="137" t="str">
        <f>VLOOKUP(B49,ИСХОДНИК!A:P,10,FALSE())</f>
        <v>R717, R744 и фреоны</v>
      </c>
      <c r="H49" s="181">
        <f>VLOOKUP(B49,ИСХОДНИК!A:P,8,FALSE())</f>
        <v>52</v>
      </c>
      <c r="I49" s="137" t="str">
        <f>VLOOKUP(B49,ИСХОДНИК!A:P,9,FALSE())</f>
        <v xml:space="preserve"> -60…120</v>
      </c>
      <c r="J49" s="182" t="str">
        <f>VLOOKUP(B49,ИСХОДНИК!A:P,15,FALSE())</f>
        <v>U6 PL40R</v>
      </c>
      <c r="K49" s="139">
        <f>VLOOKUP(B49,ИСХОДНИК!A:P,13,FALSE())</f>
        <v>774000</v>
      </c>
      <c r="L49" s="139">
        <f>VLOOKUP(B49,ИСХОДНИК!A:P,14,FALSE())</f>
        <v>897839.99999999988</v>
      </c>
      <c r="M49" s="198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3" ht="22.5" customHeight="1">
      <c r="B50" s="97" t="s">
        <v>316</v>
      </c>
      <c r="C50" s="196" t="str">
        <f>VLOOKUP(B50,ИСХОДНИК!A:P,5,FALSE())</f>
        <v>CHV 150 G ANG PN 52</v>
      </c>
      <c r="D50" s="105" t="s">
        <v>267</v>
      </c>
      <c r="E50" s="197" t="str">
        <f>VLOOKUP(B50,ИСХОДНИК!A:P,11,FALSE())</f>
        <v>Под сварку встык GOST</v>
      </c>
      <c r="F50" s="182">
        <f>VLOOKUP(B50,ИСХОДНИК!A:P,7,FALSE())</f>
        <v>150</v>
      </c>
      <c r="G50" s="137" t="str">
        <f>VLOOKUP(B50,ИСХОДНИК!A:P,10,FALSE())</f>
        <v>R717, R744 и фреоны</v>
      </c>
      <c r="H50" s="181">
        <f>VLOOKUP(B50,ИСХОДНИК!A:P,8,FALSE())</f>
        <v>52</v>
      </c>
      <c r="I50" s="137" t="str">
        <f>VLOOKUP(B50,ИСХОДНИК!A:P,9,FALSE())</f>
        <v xml:space="preserve"> -60…120</v>
      </c>
      <c r="J50" s="182" t="str">
        <f>VLOOKUP(B50,ИСХОДНИК!A:P,15,FALSE())</f>
        <v>U6 PL40R</v>
      </c>
      <c r="K50" s="139">
        <f>VLOOKUP(B50,ИСХОДНИК!A:P,13,FALSE())</f>
        <v>774000</v>
      </c>
      <c r="L50" s="139">
        <f>VLOOKUP(B50,ИСХОДНИК!A:P,14,FALSE())</f>
        <v>897839.99999999988</v>
      </c>
      <c r="M50" s="198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3" ht="22.5" customHeight="1">
      <c r="B51" s="97" t="s">
        <v>317</v>
      </c>
      <c r="C51" s="196" t="str">
        <f>VLOOKUP(B51,ИСХОДНИК!A:P,5,FALSE())</f>
        <v>CHV 150 D ANG PN 40</v>
      </c>
      <c r="D51" s="105" t="s">
        <v>267</v>
      </c>
      <c r="E51" s="197" t="str">
        <f>VLOOKUP(B51,ИСХОДНИК!A:P,11,FALSE())</f>
        <v>Под сварку встык DIN</v>
      </c>
      <c r="F51" s="182">
        <f>VLOOKUP(B51,ИСХОДНИК!A:P,7,FALSE())</f>
        <v>150</v>
      </c>
      <c r="G51" s="137" t="str">
        <f>VLOOKUP(B51,ИСХОДНИК!A:P,10,FALSE())</f>
        <v>R717, R744 и фреоны</v>
      </c>
      <c r="H51" s="181">
        <f>VLOOKUP(B51,ИСХОДНИК!A:P,8,FALSE())</f>
        <v>40</v>
      </c>
      <c r="I51" s="137" t="str">
        <f>VLOOKUP(B51,ИСХОДНИК!A:P,9,FALSE())</f>
        <v xml:space="preserve"> -60…120</v>
      </c>
      <c r="J51" s="182" t="str">
        <f>VLOOKUP(B51,ИСХОДНИК!A:P,15,FALSE())</f>
        <v>U6 PL40R</v>
      </c>
      <c r="K51" s="139">
        <f>VLOOKUP(B51,ИСХОДНИК!A:P,13,FALSE())</f>
        <v>600000</v>
      </c>
      <c r="L51" s="139">
        <f>VLOOKUP(B51,ИСХОДНИК!A:P,14,FALSE())</f>
        <v>696000</v>
      </c>
      <c r="M51" s="198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3" ht="22.5" customHeight="1">
      <c r="B52" s="97" t="s">
        <v>318</v>
      </c>
      <c r="C52" s="196" t="str">
        <f>VLOOKUP(B52,ИСХОДНИК!A:P,5,FALSE())</f>
        <v>CHV 150 G ANG PN 40</v>
      </c>
      <c r="D52" s="105" t="s">
        <v>267</v>
      </c>
      <c r="E52" s="197" t="str">
        <f>VLOOKUP(B52,ИСХОДНИК!A:P,11,FALSE())</f>
        <v>Под сварку встык GOST</v>
      </c>
      <c r="F52" s="182">
        <f>VLOOKUP(B52,ИСХОДНИК!A:P,7,FALSE())</f>
        <v>150</v>
      </c>
      <c r="G52" s="137" t="str">
        <f>VLOOKUP(B52,ИСХОДНИК!A:P,10,FALSE())</f>
        <v>R717, R744 и фреоны</v>
      </c>
      <c r="H52" s="181">
        <f>VLOOKUP(B52,ИСХОДНИК!A:P,8,FALSE())</f>
        <v>40</v>
      </c>
      <c r="I52" s="137" t="str">
        <f>VLOOKUP(B52,ИСХОДНИК!A:P,9,FALSE())</f>
        <v xml:space="preserve"> -60…120</v>
      </c>
      <c r="J52" s="182" t="str">
        <f>VLOOKUP(B52,ИСХОДНИК!A:P,15,FALSE())</f>
        <v>U6 PL40R</v>
      </c>
      <c r="K52" s="139">
        <f>VLOOKUP(B52,ИСХОДНИК!A:P,13,FALSE())</f>
        <v>600000</v>
      </c>
      <c r="L52" s="139">
        <f>VLOOKUP(B52,ИСХОДНИК!A:P,14,FALSE())</f>
        <v>696000</v>
      </c>
      <c r="M52" s="198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5" spans="2:13" ht="13.5">
      <c r="B55" s="516" t="s">
        <v>199</v>
      </c>
      <c r="C55" s="516"/>
      <c r="D55" s="516"/>
      <c r="E55" s="516"/>
      <c r="F55" s="516"/>
      <c r="G55" s="516"/>
      <c r="H55" s="516"/>
      <c r="I55" s="516"/>
      <c r="J55" s="516"/>
      <c r="K55" s="516"/>
      <c r="L55" s="516"/>
      <c r="M55" s="516"/>
    </row>
    <row r="56" spans="2:13" ht="35" customHeight="1">
      <c r="B56" s="95" t="s">
        <v>200</v>
      </c>
      <c r="C56" s="517" t="s">
        <v>2</v>
      </c>
      <c r="D56" s="517"/>
      <c r="E56" s="517"/>
      <c r="F56" s="517"/>
      <c r="G56" s="244"/>
      <c r="H56" s="244"/>
      <c r="I56" s="127" t="s">
        <v>319</v>
      </c>
      <c r="J56" s="95" t="s">
        <v>67</v>
      </c>
      <c r="K56" s="95" t="s">
        <v>74</v>
      </c>
      <c r="L56" s="95" t="s">
        <v>75</v>
      </c>
      <c r="M56" s="209" t="s">
        <v>55</v>
      </c>
    </row>
    <row r="57" spans="2:13" ht="18" customHeight="1">
      <c r="B57" s="97" t="s">
        <v>202</v>
      </c>
      <c r="C57" s="495" t="str">
        <f>VLOOKUP(B57,ИСХОДНИК!A:P,3,FALSE())</f>
        <v>Универсальная прокладка DN 15-25. Мультипак 10 шт.</v>
      </c>
      <c r="D57" s="495"/>
      <c r="E57" s="495"/>
      <c r="F57" s="495"/>
      <c r="G57" s="518"/>
      <c r="H57" s="518"/>
      <c r="I57" s="105">
        <v>7</v>
      </c>
      <c r="J57" s="105" t="str">
        <f>VLOOKUP(B57,ИСХОДНИК!A:P,15,FALSE())</f>
        <v>U6 PL40R</v>
      </c>
      <c r="K57" s="210">
        <f>VLOOKUP(B57,ИСХОДНИК!A:P,13,FALSE())</f>
        <v>7200</v>
      </c>
      <c r="L57" s="210">
        <f>VLOOKUP(B57,ИСХОДНИК!A:P,14,FALSE())</f>
        <v>8352</v>
      </c>
      <c r="M57" s="104" t="str">
        <f>IF(VLOOKUP(B57,ИСХОДНИК!A:R,18,FALSE())=1,ИСХОДНИК!$T$2,IF(VLOOKUP(B57,ИСХОДНИК!A:R,18,FALSE())=2,ИСХОДНИК!$T$5,IF(VLOOKUP(B57,ИСХОДНИК!A:R,18,FALSE())=3,ИСХОДНИК!$T$6)))</f>
        <v>◑</v>
      </c>
    </row>
    <row r="58" spans="2:13" ht="18" customHeight="1">
      <c r="B58" s="97" t="s">
        <v>203</v>
      </c>
      <c r="C58" s="495" t="str">
        <f>VLOOKUP(B58,ИСХОДНИК!A:P,3,FALSE())</f>
        <v>Универсальная прокладка DN 32-40. Мультипак 10 шт.</v>
      </c>
      <c r="D58" s="495"/>
      <c r="E58" s="495"/>
      <c r="F58" s="495"/>
      <c r="G58" s="518"/>
      <c r="H58" s="518"/>
      <c r="I58" s="105">
        <v>7</v>
      </c>
      <c r="J58" s="105" t="str">
        <f>VLOOKUP(B58,ИСХОДНИК!A:P,15,FALSE())</f>
        <v>U6 PL40R</v>
      </c>
      <c r="K58" s="210">
        <f>VLOOKUP(B58,ИСХОДНИК!A:P,13,FALSE())</f>
        <v>9000</v>
      </c>
      <c r="L58" s="210">
        <f>VLOOKUP(B58,ИСХОДНИК!A:P,14,FALSE())</f>
        <v>10440</v>
      </c>
      <c r="M58" s="104" t="str">
        <f>IF(VLOOKUP(B58,ИСХОДНИК!A:R,18,FALSE())=1,ИСХОДНИК!$T$2,IF(VLOOKUP(B58,ИСХОДНИК!A:R,18,FALSE())=2,ИСХОДНИК!$T$5,IF(VLOOKUP(B58,ИСХОДНИК!A:R,18,FALSE())=3,ИСХОДНИК!$T$6)))</f>
        <v>◑</v>
      </c>
    </row>
    <row r="59" spans="2:13" ht="18" customHeight="1">
      <c r="B59" s="97" t="s">
        <v>204</v>
      </c>
      <c r="C59" s="495" t="str">
        <f>VLOOKUP(B59,ИСХОДНИК!A:P,3,FALSE())</f>
        <v>Универсальная прокладка DN 50. Мультипак 10 шт.</v>
      </c>
      <c r="D59" s="495"/>
      <c r="E59" s="495"/>
      <c r="F59" s="495"/>
      <c r="G59" s="518"/>
      <c r="H59" s="518"/>
      <c r="I59" s="105">
        <v>7</v>
      </c>
      <c r="J59" s="105" t="str">
        <f>VLOOKUP(B59,ИСХОДНИК!A:P,15,FALSE())</f>
        <v>U6 PL40R</v>
      </c>
      <c r="K59" s="210">
        <f>VLOOKUP(B59,ИСХОДНИК!A:P,13,FALSE())</f>
        <v>14400</v>
      </c>
      <c r="L59" s="210">
        <f>VLOOKUP(B59,ИСХОДНИК!A:P,14,FALSE())</f>
        <v>16704</v>
      </c>
      <c r="M59" s="104" t="str">
        <f>IF(VLOOKUP(B59,ИСХОДНИК!A:R,18,FALSE())=1,ИСХОДНИК!$T$2,IF(VLOOKUP(B59,ИСХОДНИК!A:R,18,FALSE())=2,ИСХОДНИК!$T$5,IF(VLOOKUP(B59,ИСХОДНИК!A:R,18,FALSE())=3,ИСХОДНИК!$T$6)))</f>
        <v>◑</v>
      </c>
    </row>
    <row r="60" spans="2:13" ht="18" customHeight="1">
      <c r="B60" s="97" t="s">
        <v>205</v>
      </c>
      <c r="C60" s="495" t="str">
        <f>VLOOKUP(B60,ИСХОДНИК!A:P,3,FALSE())</f>
        <v>Универсальная прокладка DN 65. Мультипак 10 шт.</v>
      </c>
      <c r="D60" s="495"/>
      <c r="E60" s="495"/>
      <c r="F60" s="495"/>
      <c r="G60" s="518"/>
      <c r="H60" s="518"/>
      <c r="I60" s="105">
        <v>7</v>
      </c>
      <c r="J60" s="105" t="str">
        <f>VLOOKUP(B60,ИСХОДНИК!A:P,15,FALSE())</f>
        <v>U6 PL40R</v>
      </c>
      <c r="K60" s="210">
        <f>VLOOKUP(B60,ИСХОДНИК!A:P,13,FALSE())</f>
        <v>18000</v>
      </c>
      <c r="L60" s="210">
        <f>VLOOKUP(B60,ИСХОДНИК!A:P,14,FALSE())</f>
        <v>20880</v>
      </c>
      <c r="M60" s="104" t="str">
        <f>IF(VLOOKUP(B60,ИСХОДНИК!A:R,18,FALSE())=1,ИСХОДНИК!$T$2,IF(VLOOKUP(B60,ИСХОДНИК!A:R,18,FALSE())=2,ИСХОДНИК!$T$5,IF(VLOOKUP(B60,ИСХОДНИК!A:R,18,FALSE())=3,ИСХОДНИК!$T$6)))</f>
        <v>◑</v>
      </c>
    </row>
    <row r="61" spans="2:13" ht="18" customHeight="1">
      <c r="B61" s="97" t="s">
        <v>206</v>
      </c>
      <c r="C61" s="495" t="str">
        <f>VLOOKUP(B61,ИСХОДНИК!A:P,3,FALSE())</f>
        <v>Универсальная прокладка DN 80. Мультипак 10 шт.</v>
      </c>
      <c r="D61" s="495"/>
      <c r="E61" s="495"/>
      <c r="F61" s="495"/>
      <c r="G61" s="518"/>
      <c r="H61" s="518"/>
      <c r="I61" s="105">
        <v>7</v>
      </c>
      <c r="J61" s="105" t="str">
        <f>VLOOKUP(B61,ИСХОДНИК!A:P,15,FALSE())</f>
        <v>U6 PL40R</v>
      </c>
      <c r="K61" s="210">
        <f>VLOOKUP(B61,ИСХОДНИК!A:P,13,FALSE())</f>
        <v>27000</v>
      </c>
      <c r="L61" s="210">
        <f>VLOOKUP(B61,ИСХОДНИК!A:P,14,FALSE())</f>
        <v>31319.999999999996</v>
      </c>
      <c r="M61" s="104" t="str">
        <f>IF(VLOOKUP(B61,ИСХОДНИК!A:R,18,FALSE())=1,ИСХОДНИК!$T$2,IF(VLOOKUP(B61,ИСХОДНИК!A:R,18,FALSE())=2,ИСХОДНИК!$T$5,IF(VLOOKUP(B61,ИСХОДНИК!A:R,18,FALSE())=3,ИСХОДНИК!$T$6)))</f>
        <v>◑</v>
      </c>
    </row>
    <row r="62" spans="2:13" ht="18" customHeight="1">
      <c r="B62" s="97" t="s">
        <v>207</v>
      </c>
      <c r="C62" s="495" t="str">
        <f>VLOOKUP(B62,ИСХОДНИК!A:P,3,FALSE())</f>
        <v>Универсальная прокладка DN 100. Мультипак 10 шт.</v>
      </c>
      <c r="D62" s="495"/>
      <c r="E62" s="495"/>
      <c r="F62" s="495"/>
      <c r="G62" s="518"/>
      <c r="H62" s="518"/>
      <c r="I62" s="105">
        <v>7</v>
      </c>
      <c r="J62" s="105" t="str">
        <f>VLOOKUP(B62,ИСХОДНИК!A:P,15,FALSE())</f>
        <v>U6 PL40R</v>
      </c>
      <c r="K62" s="210">
        <f>VLOOKUP(B62,ИСХОДНИК!A:P,13,FALSE())</f>
        <v>36000</v>
      </c>
      <c r="L62" s="210">
        <f>VLOOKUP(B62,ИСХОДНИК!A:P,14,FALSE())</f>
        <v>41760</v>
      </c>
      <c r="M62" s="104" t="str">
        <f>IF(VLOOKUP(B62,ИСХОДНИК!A:R,18,FALSE())=1,ИСХОДНИК!$T$2,IF(VLOOKUP(B62,ИСХОДНИК!A:R,18,FALSE())=2,ИСХОДНИК!$T$5,IF(VLOOKUP(B62,ИСХОДНИК!A:R,18,FALSE())=3,ИСХОДНИК!$T$6)))</f>
        <v>◑</v>
      </c>
    </row>
    <row r="63" spans="2:13" ht="18" customHeight="1">
      <c r="B63" s="97" t="s">
        <v>208</v>
      </c>
      <c r="C63" s="495" t="str">
        <f>VLOOKUP(B63,ИСХОДНИК!A:P,3,FALSE())</f>
        <v>Универсальная прокладка DN 125. Мультипак 10 шт.</v>
      </c>
      <c r="D63" s="495"/>
      <c r="E63" s="495"/>
      <c r="F63" s="495"/>
      <c r="G63" s="518"/>
      <c r="H63" s="518"/>
      <c r="I63" s="105">
        <v>7</v>
      </c>
      <c r="J63" s="105" t="str">
        <f>VLOOKUP(B63,ИСХОДНИК!A:P,15,FALSE())</f>
        <v>U6 PL40R</v>
      </c>
      <c r="K63" s="210">
        <f>VLOOKUP(B63,ИСХОДНИК!A:P,13,FALSE())</f>
        <v>63000</v>
      </c>
      <c r="L63" s="210">
        <f>VLOOKUP(B63,ИСХОДНИК!A:P,14,FALSE())</f>
        <v>73080</v>
      </c>
      <c r="M63" s="104" t="str">
        <f>IF(VLOOKUP(B63,ИСХОДНИК!A:R,18,FALSE())=1,ИСХОДНИК!$T$2,IF(VLOOKUP(B63,ИСХОДНИК!A:R,18,FALSE())=2,ИСХОДНИК!$T$5,IF(VLOOKUP(B63,ИСХОДНИК!A:R,18,FALSE())=3,ИСХОДНИК!$T$6)))</f>
        <v>◑</v>
      </c>
    </row>
    <row r="64" spans="2:13" ht="18" customHeight="1">
      <c r="B64" s="97" t="s">
        <v>209</v>
      </c>
      <c r="C64" s="495" t="str">
        <f>VLOOKUP(B64,ИСХОДНИК!A:P,3,FALSE())</f>
        <v>Универсальная прокладка DN 150. Мультипак 10 шт.</v>
      </c>
      <c r="D64" s="495"/>
      <c r="E64" s="495"/>
      <c r="F64" s="495"/>
      <c r="G64" s="518"/>
      <c r="H64" s="518"/>
      <c r="I64" s="105">
        <v>7</v>
      </c>
      <c r="J64" s="105" t="str">
        <f>VLOOKUP(B64,ИСХОДНИК!A:P,15,FALSE())</f>
        <v>U6 PL40R</v>
      </c>
      <c r="K64" s="210">
        <f>VLOOKUP(B64,ИСХОДНИК!A:P,13,FALSE())</f>
        <v>95400</v>
      </c>
      <c r="L64" s="210">
        <f>VLOOKUP(B64,ИСХОДНИК!A:P,14,FALSE())</f>
        <v>110663.99999999999</v>
      </c>
      <c r="M64" s="104" t="str">
        <f>IF(VLOOKUP(B64,ИСХОДНИК!A:R,18,FALSE())=1,ИСХОДНИК!$T$2,IF(VLOOKUP(B64,ИСХОДНИК!A:R,18,FALSE())=2,ИСХОДНИК!$T$5,IF(VLOOKUP(B64,ИСХОДНИК!A:R,18,FALSE())=3,ИСХОДНИК!$T$6)))</f>
        <v>◑</v>
      </c>
    </row>
  </sheetData>
  <autoFilter ref="B11:M52" xr:uid="{00000000-0009-0000-0000-000006000000}"/>
  <mergeCells count="20">
    <mergeCell ref="B32:M32"/>
    <mergeCell ref="B55:M55"/>
    <mergeCell ref="C56:F56"/>
    <mergeCell ref="C57:F57"/>
    <mergeCell ref="G57:H64"/>
    <mergeCell ref="C58:F58"/>
    <mergeCell ref="C59:F59"/>
    <mergeCell ref="C60:F60"/>
    <mergeCell ref="C61:F61"/>
    <mergeCell ref="C62:F62"/>
    <mergeCell ref="C63:F63"/>
    <mergeCell ref="C64:F64"/>
    <mergeCell ref="O2:T2"/>
    <mergeCell ref="B3:H3"/>
    <mergeCell ref="Q3:R9"/>
    <mergeCell ref="J10:M10"/>
    <mergeCell ref="O10:O11"/>
    <mergeCell ref="P10:P11"/>
    <mergeCell ref="Q10:R10"/>
    <mergeCell ref="S10:T10"/>
  </mergeCells>
  <conditionalFormatting sqref="K12:L31 K33:L52 K57:K64 L57:L64">
    <cfRule type="containsErrors" dxfId="3" priority="2">
      <formula>ISERROR(K12)</formula>
    </cfRule>
  </conditionalFormatting>
  <pageMargins left="0.75" right="0.75" top="1" bottom="1" header="0.511811023622047" footer="0.5"/>
  <pageSetup paperSize="9" scale="85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04"/>
  <sheetViews>
    <sheetView showGridLines="0" topLeftCell="A60" zoomScaleNormal="100" workbookViewId="0">
      <selection activeCell="H110" sqref="H110"/>
    </sheetView>
  </sheetViews>
  <sheetFormatPr defaultColWidth="9.1796875" defaultRowHeight="12.75" customHeight="1"/>
  <cols>
    <col min="1" max="1" width="2.1796875" customWidth="1"/>
    <col min="2" max="2" width="16.7265625" style="216" customWidth="1"/>
    <col min="3" max="3" width="25.54296875" style="245" customWidth="1"/>
    <col min="4" max="4" width="25.1796875" customWidth="1"/>
    <col min="6" max="6" width="23.1796875" customWidth="1"/>
    <col min="7" max="7" width="12" customWidth="1"/>
    <col min="8" max="8" width="17.453125" customWidth="1"/>
    <col min="9" max="9" width="12.1796875" customWidth="1"/>
    <col min="10" max="10" width="11.54296875" customWidth="1"/>
    <col min="11" max="11" width="11.1796875" customWidth="1"/>
    <col min="12" max="12" width="5.453125" customWidth="1"/>
    <col min="16" max="16" width="10.81640625" customWidth="1"/>
    <col min="17" max="18" width="10.54296875" customWidth="1"/>
    <col min="19" max="19" width="10.453125" customWidth="1"/>
  </cols>
  <sheetData>
    <row r="1" spans="1:19" ht="11.25" customHeight="1"/>
    <row r="2" spans="1:19" ht="41.25" customHeight="1">
      <c r="B2" s="213" t="s">
        <v>320</v>
      </c>
      <c r="C2" s="246"/>
      <c r="D2" s="110"/>
      <c r="E2" s="110"/>
      <c r="F2" s="110"/>
      <c r="G2" s="110"/>
      <c r="H2" s="110"/>
      <c r="I2" s="110"/>
      <c r="J2" s="110"/>
      <c r="K2" s="110"/>
      <c r="L2" s="111"/>
      <c r="N2" s="497" t="s">
        <v>144</v>
      </c>
      <c r="O2" s="497"/>
      <c r="P2" s="497"/>
      <c r="Q2" s="497"/>
      <c r="R2" s="497"/>
      <c r="S2" s="497"/>
    </row>
    <row r="3" spans="1:19" ht="78.75" customHeight="1">
      <c r="B3" s="491" t="s">
        <v>321</v>
      </c>
      <c r="C3" s="491"/>
      <c r="D3" s="491"/>
      <c r="E3" s="491"/>
      <c r="F3" s="491"/>
      <c r="G3" s="491"/>
      <c r="H3" s="113"/>
      <c r="I3" s="113"/>
      <c r="J3" s="113"/>
      <c r="K3" s="113"/>
      <c r="L3" s="114"/>
      <c r="N3" s="159"/>
      <c r="O3" s="160"/>
      <c r="P3" s="498"/>
      <c r="Q3" s="498"/>
      <c r="R3" s="161"/>
      <c r="S3" s="162"/>
    </row>
    <row r="4" spans="1:19" ht="11.25" customHeight="1">
      <c r="B4" s="76" t="s">
        <v>58</v>
      </c>
      <c r="C4" s="115" t="s">
        <v>59</v>
      </c>
      <c r="D4" s="163"/>
      <c r="E4" s="164"/>
      <c r="F4" s="116"/>
      <c r="G4" s="116"/>
      <c r="H4" s="113"/>
      <c r="I4" s="113"/>
      <c r="J4" s="113"/>
      <c r="K4" s="113"/>
      <c r="L4" s="114"/>
      <c r="N4" s="159"/>
      <c r="O4" s="160"/>
      <c r="P4" s="498"/>
      <c r="Q4" s="498"/>
      <c r="R4" s="165"/>
      <c r="S4" s="166"/>
    </row>
    <row r="5" spans="1:19" ht="11.25" customHeight="1">
      <c r="B5" s="78" t="s">
        <v>61</v>
      </c>
      <c r="C5" s="115" t="s">
        <v>62</v>
      </c>
      <c r="D5" s="163"/>
      <c r="E5" s="164"/>
      <c r="F5" s="116"/>
      <c r="G5" s="116"/>
      <c r="H5" s="113"/>
      <c r="I5" s="113"/>
      <c r="J5" s="113"/>
      <c r="K5" s="113"/>
      <c r="L5" s="114"/>
      <c r="N5" s="159"/>
      <c r="O5" s="160"/>
      <c r="P5" s="498"/>
      <c r="Q5" s="498"/>
      <c r="R5" s="165"/>
      <c r="S5" s="166"/>
    </row>
    <row r="6" spans="1:19" ht="11.25" customHeight="1">
      <c r="B6" s="80" t="s">
        <v>65</v>
      </c>
      <c r="C6" s="115" t="s">
        <v>66</v>
      </c>
      <c r="D6" s="163"/>
      <c r="E6" s="164"/>
      <c r="F6" s="116"/>
      <c r="G6" s="116"/>
      <c r="H6" s="113"/>
      <c r="I6" s="113"/>
      <c r="J6" s="113"/>
      <c r="K6" s="113"/>
      <c r="L6" s="114"/>
      <c r="N6" s="159"/>
      <c r="O6" s="160"/>
      <c r="P6" s="498"/>
      <c r="Q6" s="498"/>
      <c r="R6" s="30"/>
      <c r="S6" s="29"/>
    </row>
    <row r="7" spans="1:19" ht="11.25" customHeight="1">
      <c r="B7" s="80"/>
      <c r="C7" s="115"/>
      <c r="D7" s="163"/>
      <c r="E7" s="164"/>
      <c r="F7" s="116"/>
      <c r="G7" s="116"/>
      <c r="H7" s="113"/>
      <c r="I7" s="113"/>
      <c r="J7" s="113"/>
      <c r="K7" s="113"/>
      <c r="L7" s="114"/>
      <c r="N7" s="159"/>
      <c r="O7" s="160"/>
      <c r="P7" s="498"/>
      <c r="Q7" s="498"/>
      <c r="R7" s="30"/>
      <c r="S7" s="29"/>
    </row>
    <row r="8" spans="1:19" ht="15" customHeight="1">
      <c r="B8" s="118"/>
      <c r="C8" s="119"/>
      <c r="D8" s="119"/>
      <c r="E8" s="119"/>
      <c r="F8" s="120"/>
      <c r="G8" s="120"/>
      <c r="H8" s="113"/>
      <c r="I8" s="113"/>
      <c r="J8" s="113"/>
      <c r="K8" s="113"/>
      <c r="L8" s="114"/>
      <c r="N8" s="167"/>
      <c r="O8" s="168"/>
      <c r="P8" s="498"/>
      <c r="Q8" s="498"/>
      <c r="R8" s="165"/>
      <c r="S8" s="166"/>
    </row>
    <row r="9" spans="1:19" ht="15" customHeight="1">
      <c r="A9" s="32"/>
      <c r="B9" s="122"/>
      <c r="C9" s="74"/>
      <c r="D9" s="74"/>
      <c r="E9" s="74"/>
      <c r="F9" s="123"/>
      <c r="G9" s="123"/>
      <c r="H9" s="113"/>
      <c r="I9" s="113"/>
      <c r="J9" s="113"/>
      <c r="K9" s="113"/>
      <c r="L9" s="114"/>
      <c r="N9" s="169"/>
      <c r="O9" s="170"/>
      <c r="P9" s="498"/>
      <c r="Q9" s="498"/>
      <c r="R9" s="171"/>
      <c r="S9" s="172"/>
    </row>
    <row r="10" spans="1:19" s="220" customFormat="1" ht="18.75" customHeight="1">
      <c r="B10" s="174" t="s">
        <v>322</v>
      </c>
      <c r="C10" s="247"/>
      <c r="D10" s="221"/>
      <c r="E10" s="221"/>
      <c r="F10" s="221"/>
      <c r="G10" s="221"/>
      <c r="H10" s="221"/>
      <c r="I10" s="512"/>
      <c r="J10" s="512"/>
      <c r="K10" s="512"/>
      <c r="L10" s="512"/>
      <c r="N10" s="500" t="s">
        <v>147</v>
      </c>
      <c r="O10" s="501" t="s">
        <v>81</v>
      </c>
      <c r="P10" s="513" t="s">
        <v>148</v>
      </c>
      <c r="Q10" s="513"/>
      <c r="R10" s="514" t="s">
        <v>149</v>
      </c>
      <c r="S10" s="514"/>
    </row>
    <row r="11" spans="1:19" ht="43.5" customHeight="1">
      <c r="B11" s="95" t="s">
        <v>72</v>
      </c>
      <c r="C11" s="95" t="s">
        <v>90</v>
      </c>
      <c r="D11" s="95" t="s">
        <v>91</v>
      </c>
      <c r="E11" s="95" t="s">
        <v>81</v>
      </c>
      <c r="F11" s="95" t="s">
        <v>84</v>
      </c>
      <c r="G11" s="95" t="s">
        <v>82</v>
      </c>
      <c r="H11" s="95" t="s">
        <v>83</v>
      </c>
      <c r="I11" s="208" t="s">
        <v>67</v>
      </c>
      <c r="J11" s="95" t="s">
        <v>74</v>
      </c>
      <c r="K11" s="95" t="s">
        <v>75</v>
      </c>
      <c r="L11" s="242" t="s">
        <v>55</v>
      </c>
      <c r="N11" s="500"/>
      <c r="O11" s="501"/>
      <c r="P11" s="177" t="s">
        <v>151</v>
      </c>
      <c r="Q11" s="178" t="s">
        <v>152</v>
      </c>
      <c r="R11" s="179" t="s">
        <v>151</v>
      </c>
      <c r="S11" s="180" t="s">
        <v>152</v>
      </c>
    </row>
    <row r="12" spans="1:19" ht="21.75" customHeight="1">
      <c r="B12" s="97" t="s">
        <v>323</v>
      </c>
      <c r="C12" s="98" t="str">
        <f>VLOOKUP(B12,ИСХОДНИК!A:P,5,FALSE())</f>
        <v>SCA 15 D STR PN 52</v>
      </c>
      <c r="D12" s="134" t="str">
        <f>VLOOKUP(B12,ИСХОДНИК!A:P,11,FALSE())</f>
        <v>Под сварку встык DIN</v>
      </c>
      <c r="E12" s="105">
        <f>VLOOKUP(B12,ИСХОДНИК!A:P,7,FALSE())</f>
        <v>15</v>
      </c>
      <c r="F12" s="137" t="str">
        <f>VLOOKUP(B12,ИСХОДНИК!A:P,10,FALSE())</f>
        <v>R717, R744 и фреоны</v>
      </c>
      <c r="G12" s="137">
        <f>VLOOKUP(B12,ИСХОДНИК!A:P,8,FALSE())</f>
        <v>52</v>
      </c>
      <c r="H12" s="137" t="str">
        <f>VLOOKUP(B12,ИСХОДНИК!A:P,9,FALSE())</f>
        <v xml:space="preserve"> -60…120</v>
      </c>
      <c r="I12" s="105" t="str">
        <f>VLOOKUP(B12,ИСХОДНИК!A:P,15,FALSE())</f>
        <v>U6 PL40R</v>
      </c>
      <c r="J12" s="139">
        <f>VLOOKUP(B12,ИСХОДНИК!A:P,13,FALSE())</f>
        <v>43800</v>
      </c>
      <c r="K12" s="139">
        <f>VLOOKUP(B12,ИСХОДНИК!A:P,14,FALSE())</f>
        <v>50808</v>
      </c>
      <c r="L12" s="140" t="str">
        <f>IF(VLOOKUP(B12,ИСХОДНИК!A:R,18,FALSE())=1,ИСХОДНИК!$T$2,IF(VLOOKUP(B12,ИСХОДНИК!A:R,18,FALSE())=2,ИСХОДНИК!$T$5,IF(VLOOKUP(B12,ИСХОДНИК!A:R,18,FALSE())=3,ИСХОДНИК!$T$6)))</f>
        <v>○</v>
      </c>
      <c r="N12" s="181">
        <v>1</v>
      </c>
      <c r="O12" s="182">
        <v>15</v>
      </c>
      <c r="P12" s="183">
        <v>21.3</v>
      </c>
      <c r="Q12" s="184">
        <v>2.2999999999999998</v>
      </c>
      <c r="R12" s="185">
        <v>8</v>
      </c>
      <c r="S12" s="185">
        <v>2.5</v>
      </c>
    </row>
    <row r="13" spans="1:19" ht="21.75" customHeight="1">
      <c r="B13" s="97" t="s">
        <v>324</v>
      </c>
      <c r="C13" s="98" t="str">
        <f>VLOOKUP(B13,ИСХОДНИК!A:P,5,FALSE())</f>
        <v>SCA 20 D STR PN 52</v>
      </c>
      <c r="D13" s="134" t="str">
        <f>VLOOKUP(B13,ИСХОДНИК!A:P,11,FALSE())</f>
        <v>Под сварку встык DIN</v>
      </c>
      <c r="E13" s="105">
        <f>VLOOKUP(B13,ИСХОДНИК!A:P,7,FALSE())</f>
        <v>20</v>
      </c>
      <c r="F13" s="137" t="str">
        <f>VLOOKUP(B13,ИСХОДНИК!A:P,10,FALSE())</f>
        <v>R717, R744 и фреоны</v>
      </c>
      <c r="G13" s="137">
        <f>VLOOKUP(B13,ИСХОДНИК!A:P,8,FALSE())</f>
        <v>52</v>
      </c>
      <c r="H13" s="137" t="str">
        <f>VLOOKUP(B13,ИСХОДНИК!A:P,9,FALSE())</f>
        <v xml:space="preserve"> -60…120</v>
      </c>
      <c r="I13" s="105" t="str">
        <f>VLOOKUP(B13,ИСХОДНИК!A:P,15,FALSE())</f>
        <v>U6 PL40R</v>
      </c>
      <c r="J13" s="139">
        <f>VLOOKUP(B13,ИСХОДНИК!A:P,13,FALSE())</f>
        <v>46800</v>
      </c>
      <c r="K13" s="139">
        <f>VLOOKUP(B13,ИСХОДНИК!A:P,14,FALSE())</f>
        <v>54287.999999999993</v>
      </c>
      <c r="L13" s="140" t="str">
        <f>IF(VLOOKUP(B13,ИСХОДНИК!A:R,18,FALSE())=1,ИСХОДНИК!$T$2,IF(VLOOKUP(B13,ИСХОДНИК!A:R,18,FALSE())=2,ИСХОДНИК!$T$5,IF(VLOOKUP(B13,ИСХОДНИК!A:R,18,FALSE())=3,ИСХОДНИК!$T$6)))</f>
        <v>○</v>
      </c>
      <c r="N13" s="105">
        <v>2</v>
      </c>
      <c r="O13" s="182">
        <v>20</v>
      </c>
      <c r="P13" s="183">
        <v>26.9</v>
      </c>
      <c r="Q13" s="184">
        <v>2.2999999999999998</v>
      </c>
      <c r="R13" s="185">
        <v>25</v>
      </c>
      <c r="S13" s="185">
        <v>2.5</v>
      </c>
    </row>
    <row r="14" spans="1:19" ht="21.75" customHeight="1">
      <c r="B14" s="97" t="s">
        <v>325</v>
      </c>
      <c r="C14" s="98" t="str">
        <f>VLOOKUP(B14,ИСХОДНИК!A:P,5,FALSE())</f>
        <v>SCA 25 D STR PN 52</v>
      </c>
      <c r="D14" s="134" t="str">
        <f>VLOOKUP(B14,ИСХОДНИК!A:P,11,FALSE())</f>
        <v>Под сварку встык DIN</v>
      </c>
      <c r="E14" s="105">
        <f>VLOOKUP(B14,ИСХОДНИК!A:P,7,FALSE())</f>
        <v>25</v>
      </c>
      <c r="F14" s="137" t="str">
        <f>VLOOKUP(B14,ИСХОДНИК!A:P,10,FALSE())</f>
        <v>R717, R744 и фреоны</v>
      </c>
      <c r="G14" s="137">
        <f>VLOOKUP(B14,ИСХОДНИК!A:P,8,FALSE())</f>
        <v>52</v>
      </c>
      <c r="H14" s="137" t="str">
        <f>VLOOKUP(B14,ИСХОДНИК!A:P,9,FALSE())</f>
        <v xml:space="preserve"> -60…120</v>
      </c>
      <c r="I14" s="105" t="str">
        <f>VLOOKUP(B14,ИСХОДНИК!A:P,15,FALSE())</f>
        <v>U6 PL40R</v>
      </c>
      <c r="J14" s="139">
        <f>VLOOKUP(B14,ИСХОДНИК!A:P,13,FALSE())</f>
        <v>61200</v>
      </c>
      <c r="K14" s="139">
        <f>VLOOKUP(B14,ИСХОДНИК!A:P,14,FALSE())</f>
        <v>70992</v>
      </c>
      <c r="L14" s="140" t="str">
        <f>IF(VLOOKUP(B14,ИСХОДНИК!A:R,18,FALSE())=1,ИСХОДНИК!$T$2,IF(VLOOKUP(B14,ИСХОДНИК!A:R,18,FALSE())=2,ИСХОДНИК!$T$5,IF(VLOOKUP(B14,ИСХОДНИК!A:R,18,FALSE())=3,ИСХОДНИК!$T$6)))</f>
        <v>○</v>
      </c>
      <c r="N14" s="105">
        <v>3</v>
      </c>
      <c r="O14" s="105">
        <v>25</v>
      </c>
      <c r="P14" s="184">
        <v>33.700000000000003</v>
      </c>
      <c r="Q14" s="184">
        <v>2.6</v>
      </c>
      <c r="R14" s="185">
        <v>32</v>
      </c>
      <c r="S14" s="185">
        <v>3</v>
      </c>
    </row>
    <row r="15" spans="1:19" ht="21.75" customHeight="1">
      <c r="B15" s="97" t="s">
        <v>326</v>
      </c>
      <c r="C15" s="98" t="str">
        <f>VLOOKUP(B15,ИСХОДНИК!A:P,5,FALSE())</f>
        <v>SCA 32 D STR PN 52</v>
      </c>
      <c r="D15" s="134" t="str">
        <f>VLOOKUP(B15,ИСХОДНИК!A:P,11,FALSE())</f>
        <v>Под сварку встык DIN</v>
      </c>
      <c r="E15" s="105">
        <f>VLOOKUP(B15,ИСХОДНИК!A:P,7,FALSE())</f>
        <v>32</v>
      </c>
      <c r="F15" s="137" t="str">
        <f>VLOOKUP(B15,ИСХОДНИК!A:P,10,FALSE())</f>
        <v>R717, R744 и фреоны</v>
      </c>
      <c r="G15" s="137">
        <f>VLOOKUP(B15,ИСХОДНИК!A:P,8,FALSE())</f>
        <v>52</v>
      </c>
      <c r="H15" s="137" t="str">
        <f>VLOOKUP(B15,ИСХОДНИК!A:P,9,FALSE())</f>
        <v xml:space="preserve"> -60…120</v>
      </c>
      <c r="I15" s="105" t="str">
        <f>VLOOKUP(B15,ИСХОДНИК!A:P,15,FALSE())</f>
        <v>U6 PL40R</v>
      </c>
      <c r="J15" s="139">
        <f>VLOOKUP(B15,ИСХОДНИК!A:P,13,FALSE())</f>
        <v>66000</v>
      </c>
      <c r="K15" s="139">
        <f>VLOOKUP(B15,ИСХОДНИК!A:P,14,FALSE())</f>
        <v>76560</v>
      </c>
      <c r="L15" s="140" t="str">
        <f>IF(VLOOKUP(B15,ИСХОДНИК!A:R,18,FALSE())=1,ИСХОДНИК!$T$2,IF(VLOOKUP(B15,ИСХОДНИК!A:R,18,FALSE())=2,ИСХОДНИК!$T$5,IF(VLOOKUP(B15,ИСХОДНИК!A:R,18,FALSE())=3,ИСХОДНИК!$T$6)))</f>
        <v>○</v>
      </c>
      <c r="N15" s="105">
        <v>4</v>
      </c>
      <c r="O15" s="105">
        <v>32</v>
      </c>
      <c r="P15" s="184">
        <v>42.4</v>
      </c>
      <c r="Q15" s="184">
        <v>2.6</v>
      </c>
      <c r="R15" s="185">
        <v>38</v>
      </c>
      <c r="S15" s="185">
        <v>3</v>
      </c>
    </row>
    <row r="16" spans="1:19" ht="21.75" customHeight="1">
      <c r="B16" s="97" t="s">
        <v>327</v>
      </c>
      <c r="C16" s="98" t="str">
        <f>VLOOKUP(B16,ИСХОДНИК!A:P,5,FALSE())</f>
        <v>SCA 40 D STR PN 52</v>
      </c>
      <c r="D16" s="134" t="str">
        <f>VLOOKUP(B16,ИСХОДНИК!A:P,11,FALSE())</f>
        <v>Под сварку встык DIN</v>
      </c>
      <c r="E16" s="105">
        <f>VLOOKUP(B16,ИСХОДНИК!A:P,7,FALSE())</f>
        <v>40</v>
      </c>
      <c r="F16" s="137" t="str">
        <f>VLOOKUP(B16,ИСХОДНИК!A:P,10,FALSE())</f>
        <v>R717, R744 и фреоны</v>
      </c>
      <c r="G16" s="137">
        <f>VLOOKUP(B16,ИСХОДНИК!A:P,8,FALSE())</f>
        <v>52</v>
      </c>
      <c r="H16" s="137" t="str">
        <f>VLOOKUP(B16,ИСХОДНИК!A:P,9,FALSE())</f>
        <v xml:space="preserve"> -60…120</v>
      </c>
      <c r="I16" s="105" t="str">
        <f>VLOOKUP(B16,ИСХОДНИК!A:P,15,FALSE())</f>
        <v>U6 PL40R</v>
      </c>
      <c r="J16" s="139">
        <f>VLOOKUP(B16,ИСХОДНИК!A:P,13,FALSE())</f>
        <v>90000</v>
      </c>
      <c r="K16" s="139">
        <f>VLOOKUP(B16,ИСХОДНИК!A:P,14,FALSE())</f>
        <v>104400</v>
      </c>
      <c r="L16" s="140" t="str">
        <f>IF(VLOOKUP(B16,ИСХОДНИК!A:R,18,FALSE())=1,ИСХОДНИК!$T$2,IF(VLOOKUP(B16,ИСХОДНИК!A:R,18,FALSE())=2,ИСХОДНИК!$T$5,IF(VLOOKUP(B16,ИСХОДНИК!A:R,18,FALSE())=3,ИСХОДНИК!$T$6)))</f>
        <v>○</v>
      </c>
      <c r="N16" s="105">
        <v>5</v>
      </c>
      <c r="O16" s="105">
        <v>40</v>
      </c>
      <c r="P16" s="184">
        <v>48.3</v>
      </c>
      <c r="Q16" s="184">
        <v>2.6</v>
      </c>
      <c r="R16" s="185">
        <v>45</v>
      </c>
      <c r="S16" s="185">
        <v>3</v>
      </c>
    </row>
    <row r="17" spans="2:19" ht="21.75" customHeight="1">
      <c r="B17" s="97" t="s">
        <v>328</v>
      </c>
      <c r="C17" s="98" t="str">
        <f>VLOOKUP(B17,ИСХОДНИК!A:P,5,FALSE())</f>
        <v>SCA 50 D STR PN 52</v>
      </c>
      <c r="D17" s="134" t="str">
        <f>VLOOKUP(B17,ИСХОДНИК!A:P,11,FALSE())</f>
        <v>Под сварку встык DIN</v>
      </c>
      <c r="E17" s="105">
        <f>VLOOKUP(B17,ИСХОДНИК!A:P,7,FALSE())</f>
        <v>50</v>
      </c>
      <c r="F17" s="137" t="str">
        <f>VLOOKUP(B17,ИСХОДНИК!A:P,10,FALSE())</f>
        <v>R717, R744 и фреоны</v>
      </c>
      <c r="G17" s="137">
        <f>VLOOKUP(B17,ИСХОДНИК!A:P,8,FALSE())</f>
        <v>52</v>
      </c>
      <c r="H17" s="137" t="str">
        <f>VLOOKUP(B17,ИСХОДНИК!A:P,9,FALSE())</f>
        <v xml:space="preserve"> -60…120</v>
      </c>
      <c r="I17" s="105" t="str">
        <f>VLOOKUP(B17,ИСХОДНИК!A:P,15,FALSE())</f>
        <v>U6 PL40R</v>
      </c>
      <c r="J17" s="139">
        <f>VLOOKUP(B17,ИСХОДНИК!A:P,13,FALSE())</f>
        <v>105000</v>
      </c>
      <c r="K17" s="139">
        <f>VLOOKUP(B17,ИСХОДНИК!A:P,14,FALSE())</f>
        <v>121799.99999999999</v>
      </c>
      <c r="L17" s="104" t="str">
        <f>IF(VLOOKUP(B17,ИСХОДНИК!A:R,18,FALSE())=1,ИСХОДНИК!$T$2,IF(VLOOKUP(B17,ИСХОДНИК!A:R,18,FALSE())=2,ИСХОДНИК!$T$5,IF(VLOOKUP(B17,ИСХОДНИК!A:R,18,FALSE())=3,ИСХОДНИК!$T$6)))</f>
        <v>◑</v>
      </c>
      <c r="N17" s="105">
        <v>6</v>
      </c>
      <c r="O17" s="105">
        <v>50</v>
      </c>
      <c r="P17" s="184">
        <v>60.3</v>
      </c>
      <c r="Q17" s="184">
        <v>2.9</v>
      </c>
      <c r="R17" s="248">
        <v>57</v>
      </c>
      <c r="S17" s="248">
        <v>3.5</v>
      </c>
    </row>
    <row r="18" spans="2:19" ht="21.75" customHeight="1">
      <c r="B18" s="97" t="s">
        <v>329</v>
      </c>
      <c r="C18" s="98" t="str">
        <f>VLOOKUP(B18,ИСХОДНИК!A:P,5,FALSE())</f>
        <v>SCA 65 D STR PN 52</v>
      </c>
      <c r="D18" s="134" t="str">
        <f>VLOOKUP(B18,ИСХОДНИК!A:P,11,FALSE())</f>
        <v>Под сварку встык DIN</v>
      </c>
      <c r="E18" s="105">
        <f>VLOOKUP(B18,ИСХОДНИК!A:P,7,FALSE())</f>
        <v>65</v>
      </c>
      <c r="F18" s="137" t="str">
        <f>VLOOKUP(B18,ИСХОДНИК!A:P,10,FALSE())</f>
        <v>R717, R744 и фреоны</v>
      </c>
      <c r="G18" s="137">
        <f>VLOOKUP(B18,ИСХОДНИК!A:P,8,FALSE())</f>
        <v>52</v>
      </c>
      <c r="H18" s="137" t="str">
        <f>VLOOKUP(B18,ИСХОДНИК!A:P,9,FALSE())</f>
        <v xml:space="preserve"> -60…120</v>
      </c>
      <c r="I18" s="105" t="str">
        <f>VLOOKUP(B18,ИСХОДНИК!A:P,15,FALSE())</f>
        <v>U6 PL40R</v>
      </c>
      <c r="J18" s="139">
        <f>VLOOKUP(B18,ИСХОДНИК!A:P,13,FALSE())</f>
        <v>153000</v>
      </c>
      <c r="K18" s="139">
        <f>VLOOKUP(B18,ИСХОДНИК!A:P,14,FALSE())</f>
        <v>177480</v>
      </c>
      <c r="L18" s="140" t="str">
        <f>IF(VLOOKUP(B18,ИСХОДНИК!A:R,18,FALSE())=1,ИСХОДНИК!$T$2,IF(VLOOKUP(B18,ИСХОДНИК!A:R,18,FALSE())=2,ИСХОДНИК!$T$5,IF(VLOOKUP(B18,ИСХОДНИК!A:R,18,FALSE())=3,ИСХОДНИК!$T$6)))</f>
        <v>○</v>
      </c>
      <c r="N18" s="105">
        <v>7</v>
      </c>
      <c r="O18" s="105">
        <v>65</v>
      </c>
      <c r="P18" s="184">
        <v>76.099999999999994</v>
      </c>
      <c r="Q18" s="249">
        <v>2.9</v>
      </c>
      <c r="R18" s="186"/>
      <c r="S18" s="187"/>
    </row>
    <row r="19" spans="2:19" ht="21.75" customHeight="1">
      <c r="B19" s="97" t="s">
        <v>330</v>
      </c>
      <c r="C19" s="98" t="str">
        <f>VLOOKUP(B19,ИСХОДНИК!A:P,5,FALSE())</f>
        <v>SCA 80 D STR PN 52</v>
      </c>
      <c r="D19" s="134" t="str">
        <f>VLOOKUP(B19,ИСХОДНИК!A:P,11,FALSE())</f>
        <v>Под сварку встык DIN</v>
      </c>
      <c r="E19" s="105">
        <f>VLOOKUP(B19,ИСХОДНИК!A:P,7,FALSE())</f>
        <v>80</v>
      </c>
      <c r="F19" s="137" t="str">
        <f>VLOOKUP(B19,ИСХОДНИК!A:P,10,FALSE())</f>
        <v>R717, R744 и фреоны</v>
      </c>
      <c r="G19" s="137">
        <f>VLOOKUP(B19,ИСХОДНИК!A:P,8,FALSE())</f>
        <v>52</v>
      </c>
      <c r="H19" s="137" t="str">
        <f>VLOOKUP(B19,ИСХОДНИК!A:P,9,FALSE())</f>
        <v xml:space="preserve"> -60…120</v>
      </c>
      <c r="I19" s="105" t="str">
        <f>VLOOKUP(B19,ИСХОДНИК!A:P,15,FALSE())</f>
        <v>U6 PL40R</v>
      </c>
      <c r="J19" s="139">
        <f>VLOOKUP(B19,ИСХОДНИК!A:P,13,FALSE())</f>
        <v>174000</v>
      </c>
      <c r="K19" s="139">
        <f>VLOOKUP(B19,ИСХОДНИК!A:P,14,FALSE())</f>
        <v>201840</v>
      </c>
      <c r="L19" s="140" t="str">
        <f>IF(VLOOKUP(B19,ИСХОДНИК!A:R,18,FALSE())=1,ИСХОДНИК!$T$2,IF(VLOOKUP(B19,ИСХОДНИК!A:R,18,FALSE())=2,ИСХОДНИК!$T$5,IF(VLOOKUP(B19,ИСХОДНИК!A:R,18,FALSE())=3,ИСХОДНИК!$T$6)))</f>
        <v>○</v>
      </c>
      <c r="N19" s="105">
        <v>8</v>
      </c>
      <c r="O19" s="105">
        <v>80</v>
      </c>
      <c r="P19" s="184">
        <v>88.9</v>
      </c>
      <c r="Q19" s="249">
        <v>3.2</v>
      </c>
      <c r="R19" s="188"/>
      <c r="S19" s="189"/>
    </row>
    <row r="20" spans="2:19" ht="21.75" customHeight="1">
      <c r="B20" s="97" t="s">
        <v>331</v>
      </c>
      <c r="C20" s="98" t="str">
        <f>VLOOKUP(B20,ИСХОДНИК!A:P,5,FALSE())</f>
        <v>SCA 100 D STR PN 52</v>
      </c>
      <c r="D20" s="134" t="str">
        <f>VLOOKUP(B20,ИСХОДНИК!A:P,11,FALSE())</f>
        <v>Под сварку встык DIN</v>
      </c>
      <c r="E20" s="105">
        <f>VLOOKUP(B20,ИСХОДНИК!A:P,7,FALSE())</f>
        <v>100</v>
      </c>
      <c r="F20" s="137" t="str">
        <f>VLOOKUP(B20,ИСХОДНИК!A:P,10,FALSE())</f>
        <v>R717, R744 и фреоны</v>
      </c>
      <c r="G20" s="137">
        <f>VLOOKUP(B20,ИСХОДНИК!A:P,8,FALSE())</f>
        <v>52</v>
      </c>
      <c r="H20" s="137" t="str">
        <f>VLOOKUP(B20,ИСХОДНИК!A:P,9,FALSE())</f>
        <v xml:space="preserve"> -60…120</v>
      </c>
      <c r="I20" s="105" t="str">
        <f>VLOOKUP(B20,ИСХОДНИК!A:P,15,FALSE())</f>
        <v>U6 PL40R</v>
      </c>
      <c r="J20" s="139">
        <f>VLOOKUP(B20,ИСХОДНИК!A:P,13,FALSE())</f>
        <v>288000</v>
      </c>
      <c r="K20" s="139">
        <f>VLOOKUP(B20,ИСХОДНИК!A:P,14,FALSE())</f>
        <v>334080</v>
      </c>
      <c r="L20" s="140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N20" s="105">
        <v>9</v>
      </c>
      <c r="O20" s="105">
        <v>100</v>
      </c>
      <c r="P20" s="184">
        <v>114.3</v>
      </c>
      <c r="Q20" s="184">
        <v>3.6</v>
      </c>
      <c r="R20" s="250">
        <v>108</v>
      </c>
      <c r="S20" s="250">
        <v>4</v>
      </c>
    </row>
    <row r="21" spans="2:19" ht="21.75" customHeight="1">
      <c r="B21" s="97" t="s">
        <v>332</v>
      </c>
      <c r="C21" s="98" t="str">
        <f>VLOOKUP(B21,ИСХОДНИК!A:P,5,FALSE())</f>
        <v>SCA 100 G STR PN 52</v>
      </c>
      <c r="D21" s="134" t="str">
        <f>VLOOKUP(B21,ИСХОДНИК!A:P,11,FALSE())</f>
        <v>Под сварку встык GOST</v>
      </c>
      <c r="E21" s="105">
        <f>VLOOKUP(B21,ИСХОДНИК!A:P,7,FALSE())</f>
        <v>100</v>
      </c>
      <c r="F21" s="137" t="str">
        <f>VLOOKUP(B21,ИСХОДНИК!A:P,10,FALSE())</f>
        <v>R717, R744 и фреоны</v>
      </c>
      <c r="G21" s="137">
        <f>VLOOKUP(B21,ИСХОДНИК!A:P,8,FALSE())</f>
        <v>52</v>
      </c>
      <c r="H21" s="137" t="str">
        <f>VLOOKUP(B21,ИСХОДНИК!A:P,9,FALSE())</f>
        <v xml:space="preserve"> -60…120</v>
      </c>
      <c r="I21" s="105" t="str">
        <f>VLOOKUP(B21,ИСХОДНИК!A:P,15,FALSE())</f>
        <v>U6 PL40R</v>
      </c>
      <c r="J21" s="139">
        <f>VLOOKUP(B21,ИСХОДНИК!A:P,13,FALSE())</f>
        <v>288000</v>
      </c>
      <c r="K21" s="139">
        <f>VLOOKUP(B21,ИСХОДНИК!A:P,14,FALSE())</f>
        <v>334080</v>
      </c>
      <c r="L21" s="140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N21" s="105">
        <v>10</v>
      </c>
      <c r="O21" s="105">
        <v>125</v>
      </c>
      <c r="P21" s="184">
        <v>139.69999999999999</v>
      </c>
      <c r="Q21" s="184">
        <v>4</v>
      </c>
      <c r="R21" s="185">
        <v>133</v>
      </c>
      <c r="S21" s="185">
        <v>4</v>
      </c>
    </row>
    <row r="22" spans="2:19" ht="21.75" customHeight="1">
      <c r="B22" s="97" t="s">
        <v>333</v>
      </c>
      <c r="C22" s="98" t="str">
        <f>VLOOKUP(B22,ИСХОДНИК!A:P,5,FALSE())</f>
        <v>SCA 100 D STR PN 40</v>
      </c>
      <c r="D22" s="134" t="str">
        <f>VLOOKUP(B22,ИСХОДНИК!A:P,11,FALSE())</f>
        <v>Под сварку встык DIN</v>
      </c>
      <c r="E22" s="105">
        <f>VLOOKUP(B22,ИСХОДНИК!A:P,7,FALSE())</f>
        <v>100</v>
      </c>
      <c r="F22" s="137" t="str">
        <f>VLOOKUP(B22,ИСХОДНИК!A:P,10,FALSE())</f>
        <v>R717, R744 и фреоны</v>
      </c>
      <c r="G22" s="137">
        <f>VLOOKUP(B22,ИСХОДНИК!A:P,8,FALSE())</f>
        <v>40</v>
      </c>
      <c r="H22" s="137" t="str">
        <f>VLOOKUP(B22,ИСХОДНИК!A:P,9,FALSE())</f>
        <v xml:space="preserve"> -60…120</v>
      </c>
      <c r="I22" s="105" t="str">
        <f>VLOOKUP(B22,ИСХОДНИК!A:P,15,FALSE())</f>
        <v>U6 PL40R</v>
      </c>
      <c r="J22" s="139">
        <f>VLOOKUP(B22,ИСХОДНИК!A:P,13,FALSE())</f>
        <v>252000</v>
      </c>
      <c r="K22" s="139">
        <f>VLOOKUP(B22,ИСХОДНИК!A:P,14,FALSE())</f>
        <v>292320</v>
      </c>
      <c r="L22" s="140" t="str">
        <f>IF(VLOOKUP(B22,ИСХОДНИК!A:R,18,FALSE())=1,ИСХОДНИК!$T$2,IF(VLOOKUP(B22,ИСХОДНИК!A:R,18,FALSE())=2,ИСХОДНИК!$T$5,IF(VLOOKUP(B22,ИСХОДНИК!A:R,18,FALSE())=3,ИСХОДНИК!$T$6)))</f>
        <v>○</v>
      </c>
      <c r="N22" s="105">
        <v>11</v>
      </c>
      <c r="O22" s="105">
        <v>150</v>
      </c>
      <c r="P22" s="184">
        <v>168.3</v>
      </c>
      <c r="Q22" s="184">
        <v>4.5</v>
      </c>
      <c r="R22" s="185">
        <v>159</v>
      </c>
      <c r="S22" s="185">
        <v>4.5</v>
      </c>
    </row>
    <row r="23" spans="2:19" ht="21.75" customHeight="1">
      <c r="B23" s="97" t="s">
        <v>334</v>
      </c>
      <c r="C23" s="98" t="str">
        <f>VLOOKUP(B23,ИСХОДНИК!A:P,5,FALSE())</f>
        <v>SCA 100 G STR PN 40</v>
      </c>
      <c r="D23" s="134" t="str">
        <f>VLOOKUP(B23,ИСХОДНИК!A:P,11,FALSE())</f>
        <v>Под сварку встык GOST</v>
      </c>
      <c r="E23" s="105">
        <f>VLOOKUP(B23,ИСХОДНИК!A:P,7,FALSE())</f>
        <v>100</v>
      </c>
      <c r="F23" s="137" t="str">
        <f>VLOOKUP(B23,ИСХОДНИК!A:P,10,FALSE())</f>
        <v>R717, R744 и фреоны</v>
      </c>
      <c r="G23" s="137">
        <f>VLOOKUP(B23,ИСХОДНИК!A:P,8,FALSE())</f>
        <v>40</v>
      </c>
      <c r="H23" s="137" t="str">
        <f>VLOOKUP(B23,ИСХОДНИК!A:P,9,FALSE())</f>
        <v xml:space="preserve"> -60…120</v>
      </c>
      <c r="I23" s="105" t="str">
        <f>VLOOKUP(B23,ИСХОДНИК!A:P,15,FALSE())</f>
        <v>U6 PL40R</v>
      </c>
      <c r="J23" s="139">
        <f>VLOOKUP(B23,ИСХОДНИК!A:P,13,FALSE())</f>
        <v>252000</v>
      </c>
      <c r="K23" s="139">
        <f>VLOOKUP(B23,ИСХОДНИК!A:P,14,FALSE())</f>
        <v>292320</v>
      </c>
      <c r="L23" s="140" t="str">
        <f>IF(VLOOKUP(B23,ИСХОДНИК!A:R,18,FALSE())=1,ИСХОДНИК!$T$2,IF(VLOOKUP(B23,ИСХОДНИК!A:R,18,FALSE())=2,ИСХОДНИК!$T$5,IF(VLOOKUP(B23,ИСХОДНИК!A:R,18,FALSE())=3,ИСХОДНИК!$T$6)))</f>
        <v>○</v>
      </c>
    </row>
    <row r="24" spans="2:19" ht="21.75" customHeight="1">
      <c r="B24" s="97" t="s">
        <v>335</v>
      </c>
      <c r="C24" s="98" t="str">
        <f>VLOOKUP(B24,ИСХОДНИК!A:P,5,FALSE())</f>
        <v>SCA 125 D STR PN 52</v>
      </c>
      <c r="D24" s="134" t="str">
        <f>VLOOKUP(B24,ИСХОДНИК!A:P,11,FALSE())</f>
        <v>Под сварку встык DIN</v>
      </c>
      <c r="E24" s="105">
        <f>VLOOKUP(B24,ИСХОДНИК!A:P,7,FALSE())</f>
        <v>125</v>
      </c>
      <c r="F24" s="137" t="str">
        <f>VLOOKUP(B24,ИСХОДНИК!A:P,10,FALSE())</f>
        <v>R717, R744 и фреоны</v>
      </c>
      <c r="G24" s="137">
        <f>VLOOKUP(B24,ИСХОДНИК!A:P,8,FALSE())</f>
        <v>52</v>
      </c>
      <c r="H24" s="137" t="str">
        <f>VLOOKUP(B24,ИСХОДНИК!A:P,9,FALSE())</f>
        <v xml:space="preserve"> -60…120</v>
      </c>
      <c r="I24" s="105" t="str">
        <f>VLOOKUP(B24,ИСХОДНИК!A:P,15,FALSE())</f>
        <v>U6 PL40R</v>
      </c>
      <c r="J24" s="139">
        <f>VLOOKUP(B24,ИСХОДНИК!A:P,13,FALSE())</f>
        <v>594000</v>
      </c>
      <c r="K24" s="139">
        <f>VLOOKUP(B24,ИСХОДНИК!A:P,14,FALSE())</f>
        <v>689040</v>
      </c>
      <c r="L24" s="140" t="str">
        <f>IF(VLOOKUP(B24,ИСХОДНИК!A:R,18,FALSE())=1,ИСХОДНИК!$T$2,IF(VLOOKUP(B24,ИСХОДНИК!A:R,18,FALSE())=2,ИСХОДНИК!$T$5,IF(VLOOKUP(B24,ИСХОДНИК!A:R,18,FALSE())=3,ИСХОДНИК!$T$6)))</f>
        <v>○</v>
      </c>
    </row>
    <row r="25" spans="2:19" ht="21.75" customHeight="1">
      <c r="B25" s="97" t="s">
        <v>336</v>
      </c>
      <c r="C25" s="98" t="str">
        <f>VLOOKUP(B25,ИСХОДНИК!A:P,5,FALSE())</f>
        <v>SCA 125 G STR PN 52</v>
      </c>
      <c r="D25" s="134" t="str">
        <f>VLOOKUP(B25,ИСХОДНИК!A:P,11,FALSE())</f>
        <v>Под сварку встык GOST</v>
      </c>
      <c r="E25" s="105">
        <f>VLOOKUP(B25,ИСХОДНИК!A:P,7,FALSE())</f>
        <v>125</v>
      </c>
      <c r="F25" s="137" t="str">
        <f>VLOOKUP(B25,ИСХОДНИК!A:P,10,FALSE())</f>
        <v>R717, R744 и фреоны</v>
      </c>
      <c r="G25" s="137">
        <f>VLOOKUP(B25,ИСХОДНИК!A:P,8,FALSE())</f>
        <v>52</v>
      </c>
      <c r="H25" s="137" t="str">
        <f>VLOOKUP(B25,ИСХОДНИК!A:P,9,FALSE())</f>
        <v xml:space="preserve"> -60…120</v>
      </c>
      <c r="I25" s="105" t="str">
        <f>VLOOKUP(B25,ИСХОДНИК!A:P,15,FALSE())</f>
        <v>U6 PL40R</v>
      </c>
      <c r="J25" s="139">
        <f>VLOOKUP(B25,ИСХОДНИК!A:P,13,FALSE())</f>
        <v>594000</v>
      </c>
      <c r="K25" s="139">
        <f>VLOOKUP(B25,ИСХОДНИК!A:P,14,FALSE())</f>
        <v>689040</v>
      </c>
      <c r="L25" s="140" t="str">
        <f>IF(VLOOKUP(B25,ИСХОДНИК!A:R,18,FALSE())=1,ИСХОДНИК!$T$2,IF(VLOOKUP(B25,ИСХОДНИК!A:R,18,FALSE())=2,ИСХОДНИК!$T$5,IF(VLOOKUP(B25,ИСХОДНИК!A:R,18,FALSE())=3,ИСХОДНИК!$T$6)))</f>
        <v>○</v>
      </c>
    </row>
    <row r="26" spans="2:19" ht="21.75" customHeight="1">
      <c r="B26" s="97" t="s">
        <v>337</v>
      </c>
      <c r="C26" s="98" t="str">
        <f>VLOOKUP(B26,ИСХОДНИК!A:P,5,FALSE())</f>
        <v>SCA 125 D STR PN 40</v>
      </c>
      <c r="D26" s="134" t="str">
        <f>VLOOKUP(B26,ИСХОДНИК!A:P,11,FALSE())</f>
        <v>Под сварку встык DIN</v>
      </c>
      <c r="E26" s="105">
        <f>VLOOKUP(B26,ИСХОДНИК!A:P,7,FALSE())</f>
        <v>125</v>
      </c>
      <c r="F26" s="137" t="str">
        <f>VLOOKUP(B26,ИСХОДНИК!A:P,10,FALSE())</f>
        <v>R717, R744 и фреоны</v>
      </c>
      <c r="G26" s="137">
        <f>VLOOKUP(B26,ИСХОДНИК!A:P,8,FALSE())</f>
        <v>40</v>
      </c>
      <c r="H26" s="137" t="str">
        <f>VLOOKUP(B26,ИСХОДНИК!A:P,9,FALSE())</f>
        <v xml:space="preserve"> -60…120</v>
      </c>
      <c r="I26" s="105" t="str">
        <f>VLOOKUP(B26,ИСХОДНИК!A:P,15,FALSE())</f>
        <v>U6 PL40R</v>
      </c>
      <c r="J26" s="139">
        <f>VLOOKUP(B26,ИСХОДНИК!A:P,13,FALSE())</f>
        <v>498000</v>
      </c>
      <c r="K26" s="139">
        <f>VLOOKUP(B26,ИСХОДНИК!A:P,14,FALSE())</f>
        <v>577680</v>
      </c>
      <c r="L26" s="140" t="str">
        <f>IF(VLOOKUP(B26,ИСХОДНИК!A:R,18,FALSE())=1,ИСХОДНИК!$T$2,IF(VLOOKUP(B26,ИСХОДНИК!A:R,18,FALSE())=2,ИСХОДНИК!$T$5,IF(VLOOKUP(B26,ИСХОДНИК!A:R,18,FALSE())=3,ИСХОДНИК!$T$6)))</f>
        <v>○</v>
      </c>
    </row>
    <row r="27" spans="2:19" ht="21.75" customHeight="1">
      <c r="B27" s="97" t="s">
        <v>338</v>
      </c>
      <c r="C27" s="98" t="str">
        <f>VLOOKUP(B27,ИСХОДНИК!A:P,5,FALSE())</f>
        <v>SCA 125 G STR PN 40</v>
      </c>
      <c r="D27" s="134" t="str">
        <f>VLOOKUP(B27,ИСХОДНИК!A:P,11,FALSE())</f>
        <v>Под сварку встык GOST</v>
      </c>
      <c r="E27" s="105">
        <f>VLOOKUP(B27,ИСХОДНИК!A:P,7,FALSE())</f>
        <v>125</v>
      </c>
      <c r="F27" s="137" t="str">
        <f>VLOOKUP(B27,ИСХОДНИК!A:P,10,FALSE())</f>
        <v>R717, R744 и фреоны</v>
      </c>
      <c r="G27" s="137">
        <f>VLOOKUP(B27,ИСХОДНИК!A:P,8,FALSE())</f>
        <v>40</v>
      </c>
      <c r="H27" s="137" t="str">
        <f>VLOOKUP(B27,ИСХОДНИК!A:P,9,FALSE())</f>
        <v xml:space="preserve"> -60…120</v>
      </c>
      <c r="I27" s="105" t="str">
        <f>VLOOKUP(B27,ИСХОДНИК!A:P,15,FALSE())</f>
        <v>U6 PL40R</v>
      </c>
      <c r="J27" s="139">
        <f>VLOOKUP(B27,ИСХОДНИК!A:P,13,FALSE())</f>
        <v>498000</v>
      </c>
      <c r="K27" s="139">
        <f>VLOOKUP(B27,ИСХОДНИК!A:P,14,FALSE())</f>
        <v>577680</v>
      </c>
      <c r="L27" s="140" t="str">
        <f>IF(VLOOKUP(B27,ИСХОДНИК!A:R,18,FALSE())=1,ИСХОДНИК!$T$2,IF(VLOOKUP(B27,ИСХОДНИК!A:R,18,FALSE())=2,ИСХОДНИК!$T$5,IF(VLOOKUP(B27,ИСХОДНИК!A:R,18,FALSE())=3,ИСХОДНИК!$T$6)))</f>
        <v>○</v>
      </c>
    </row>
    <row r="28" spans="2:19" ht="21.75" customHeight="1">
      <c r="B28" s="97" t="s">
        <v>339</v>
      </c>
      <c r="C28" s="98" t="str">
        <f>VLOOKUP(B28,ИСХОДНИК!A:P,5,FALSE())</f>
        <v>SCA 150 D STR PN 52</v>
      </c>
      <c r="D28" s="134" t="str">
        <f>VLOOKUP(B28,ИСХОДНИК!A:P,11,FALSE())</f>
        <v>Под сварку встык DIN</v>
      </c>
      <c r="E28" s="105">
        <f>VLOOKUP(B28,ИСХОДНИК!A:P,7,FALSE())</f>
        <v>150</v>
      </c>
      <c r="F28" s="137" t="str">
        <f>VLOOKUP(B28,ИСХОДНИК!A:P,10,FALSE())</f>
        <v>R717, R744 и фреоны</v>
      </c>
      <c r="G28" s="137">
        <f>VLOOKUP(B28,ИСХОДНИК!A:P,8,FALSE())</f>
        <v>52</v>
      </c>
      <c r="H28" s="137" t="str">
        <f>VLOOKUP(B28,ИСХОДНИК!A:P,9,FALSE())</f>
        <v xml:space="preserve"> -60…120</v>
      </c>
      <c r="I28" s="105" t="str">
        <f>VLOOKUP(B28,ИСХОДНИК!A:P,15,FALSE())</f>
        <v>U6 PL40R</v>
      </c>
      <c r="J28" s="139">
        <f>VLOOKUP(B28,ИСХОДНИК!A:P,13,FALSE())</f>
        <v>840000</v>
      </c>
      <c r="K28" s="139">
        <f>VLOOKUP(B28,ИСХОДНИК!A:P,14,FALSE())</f>
        <v>974399.99999999988</v>
      </c>
      <c r="L28" s="140" t="str">
        <f>IF(VLOOKUP(B28,ИСХОДНИК!A:R,18,FALSE())=1,ИСХОДНИК!$T$2,IF(VLOOKUP(B28,ИСХОДНИК!A:R,18,FALSE())=2,ИСХОДНИК!$T$5,IF(VLOOKUP(B28,ИСХОДНИК!A:R,18,FALSE())=3,ИСХОДНИК!$T$6)))</f>
        <v>○</v>
      </c>
    </row>
    <row r="29" spans="2:19" ht="21.75" customHeight="1">
      <c r="B29" s="97" t="s">
        <v>340</v>
      </c>
      <c r="C29" s="98" t="str">
        <f>VLOOKUP(B29,ИСХОДНИК!A:P,5,FALSE())</f>
        <v>SCA 150 G STR PN 52</v>
      </c>
      <c r="D29" s="134" t="str">
        <f>VLOOKUP(B29,ИСХОДНИК!A:P,11,FALSE())</f>
        <v>Под сварку встык GOST</v>
      </c>
      <c r="E29" s="105">
        <f>VLOOKUP(B29,ИСХОДНИК!A:P,7,FALSE())</f>
        <v>150</v>
      </c>
      <c r="F29" s="137" t="str">
        <f>VLOOKUP(B29,ИСХОДНИК!A:P,10,FALSE())</f>
        <v>R717, R744 и фреоны</v>
      </c>
      <c r="G29" s="137">
        <f>VLOOKUP(B29,ИСХОДНИК!A:P,8,FALSE())</f>
        <v>52</v>
      </c>
      <c r="H29" s="137" t="str">
        <f>VLOOKUP(B29,ИСХОДНИК!A:P,9,FALSE())</f>
        <v xml:space="preserve"> -60…120</v>
      </c>
      <c r="I29" s="105" t="str">
        <f>VLOOKUP(B29,ИСХОДНИК!A:P,15,FALSE())</f>
        <v>U6 PL40R</v>
      </c>
      <c r="J29" s="139">
        <f>VLOOKUP(B29,ИСХОДНИК!A:P,13,FALSE())</f>
        <v>840000</v>
      </c>
      <c r="K29" s="139">
        <f>VLOOKUP(B29,ИСХОДНИК!A:P,14,FALSE())</f>
        <v>974399.99999999988</v>
      </c>
      <c r="L29" s="140" t="str">
        <f>IF(VLOOKUP(B29,ИСХОДНИК!A:R,18,FALSE())=1,ИСХОДНИК!$T$2,IF(VLOOKUP(B29,ИСХОДНИК!A:R,18,FALSE())=2,ИСХОДНИК!$T$5,IF(VLOOKUP(B29,ИСХОДНИК!A:R,18,FALSE())=3,ИСХОДНИК!$T$6)))</f>
        <v>○</v>
      </c>
    </row>
    <row r="30" spans="2:19" ht="21.75" customHeight="1">
      <c r="B30" s="97" t="s">
        <v>341</v>
      </c>
      <c r="C30" s="98" t="str">
        <f>VLOOKUP(B30,ИСХОДНИК!A:P,5,FALSE())</f>
        <v>SCA 150 D STR PN 40</v>
      </c>
      <c r="D30" s="134" t="str">
        <f>VLOOKUP(B30,ИСХОДНИК!A:P,11,FALSE())</f>
        <v>Под сварку встык DIN</v>
      </c>
      <c r="E30" s="105">
        <f>VLOOKUP(B30,ИСХОДНИК!A:P,7,FALSE())</f>
        <v>150</v>
      </c>
      <c r="F30" s="137" t="str">
        <f>VLOOKUP(B30,ИСХОДНИК!A:P,10,FALSE())</f>
        <v>R717, R744 и фреоны</v>
      </c>
      <c r="G30" s="137">
        <f>VLOOKUP(B30,ИСХОДНИК!A:P,8,FALSE())</f>
        <v>40</v>
      </c>
      <c r="H30" s="137" t="str">
        <f>VLOOKUP(B30,ИСХОДНИК!A:P,9,FALSE())</f>
        <v xml:space="preserve"> -60…120</v>
      </c>
      <c r="I30" s="105" t="str">
        <f>VLOOKUP(B30,ИСХОДНИК!A:P,15,FALSE())</f>
        <v>U6 PL40R</v>
      </c>
      <c r="J30" s="139">
        <f>VLOOKUP(B30,ИСХОДНИК!A:P,13,FALSE())</f>
        <v>720000</v>
      </c>
      <c r="K30" s="139">
        <f>VLOOKUP(B30,ИСХОДНИК!A:P,14,FALSE())</f>
        <v>835200</v>
      </c>
      <c r="L30" s="140" t="str">
        <f>IF(VLOOKUP(B30,ИСХОДНИК!A:R,18,FALSE())=1,ИСХОДНИК!$T$2,IF(VLOOKUP(B30,ИСХОДНИК!A:R,18,FALSE())=2,ИСХОДНИК!$T$5,IF(VLOOKUP(B30,ИСХОДНИК!A:R,18,FALSE())=3,ИСХОДНИК!$T$6)))</f>
        <v>○</v>
      </c>
    </row>
    <row r="31" spans="2:19" ht="21.75" customHeight="1">
      <c r="B31" s="97" t="s">
        <v>342</v>
      </c>
      <c r="C31" s="98" t="str">
        <f>VLOOKUP(B31,ИСХОДНИК!A:P,5,FALSE())</f>
        <v>SCA 150 G STR PN 40</v>
      </c>
      <c r="D31" s="134" t="str">
        <f>VLOOKUP(B31,ИСХОДНИК!A:P,11,FALSE())</f>
        <v>Под сварку встык GOST</v>
      </c>
      <c r="E31" s="105">
        <f>VLOOKUP(B31,ИСХОДНИК!A:P,7,FALSE())</f>
        <v>150</v>
      </c>
      <c r="F31" s="137" t="str">
        <f>VLOOKUP(B31,ИСХОДНИК!A:P,10,FALSE())</f>
        <v>R717, R744 и фреоны</v>
      </c>
      <c r="G31" s="137">
        <f>VLOOKUP(B31,ИСХОДНИК!A:P,8,FALSE())</f>
        <v>40</v>
      </c>
      <c r="H31" s="137" t="str">
        <f>VLOOKUP(B31,ИСХОДНИК!A:P,9,FALSE())</f>
        <v xml:space="preserve"> -60…120</v>
      </c>
      <c r="I31" s="105" t="str">
        <f>VLOOKUP(B31,ИСХОДНИК!A:P,15,FALSE())</f>
        <v>U6 PL40R</v>
      </c>
      <c r="J31" s="139">
        <f>VLOOKUP(B31,ИСХОДНИК!A:P,13,FALSE())</f>
        <v>720000</v>
      </c>
      <c r="K31" s="139">
        <f>VLOOKUP(B31,ИСХОДНИК!A:P,14,FALSE())</f>
        <v>835200</v>
      </c>
      <c r="L31" s="140" t="str">
        <f>IF(VLOOKUP(B31,ИСХОДНИК!A:R,18,FALSE())=1,ИСХОДНИК!$T$2,IF(VLOOKUP(B31,ИСХОДНИК!A:R,18,FALSE())=2,ИСХОДНИК!$T$5,IF(VLOOKUP(B31,ИСХОДНИК!A:R,18,FALSE())=3,ИСХОДНИК!$T$6)))</f>
        <v>○</v>
      </c>
    </row>
    <row r="32" spans="2:19" ht="21.75" customHeight="1">
      <c r="B32" s="504" t="s">
        <v>343</v>
      </c>
      <c r="C32" s="504"/>
      <c r="D32" s="504"/>
      <c r="E32" s="504"/>
      <c r="F32" s="504"/>
      <c r="G32" s="504"/>
      <c r="H32" s="504"/>
      <c r="I32" s="504"/>
      <c r="J32" s="504"/>
      <c r="K32" s="504"/>
      <c r="L32" s="504"/>
    </row>
    <row r="33" spans="2:12" ht="21.75" customHeight="1">
      <c r="B33" s="97" t="s">
        <v>344</v>
      </c>
      <c r="C33" s="98" t="str">
        <f>VLOOKUP(B33,ИСХОДНИК!A:P,5,FALSE())</f>
        <v>SCA 15 D ANG PN 52</v>
      </c>
      <c r="D33" s="134" t="str">
        <f>VLOOKUP(B33,ИСХОДНИК!A:P,11,FALSE())</f>
        <v>Под сварку встык DIN</v>
      </c>
      <c r="E33" s="105">
        <f>VLOOKUP(B33,ИСХОДНИК!A:P,7,FALSE())</f>
        <v>15</v>
      </c>
      <c r="F33" s="137" t="str">
        <f>VLOOKUP(B33,ИСХОДНИК!A:P,10,FALSE())</f>
        <v>R717, R744 и фреоны</v>
      </c>
      <c r="G33" s="137">
        <f>VLOOKUP(B33,ИСХОДНИК!A:P,8,FALSE())</f>
        <v>52</v>
      </c>
      <c r="H33" s="137" t="str">
        <f>VLOOKUP(B33,ИСХОДНИК!A:P,9,FALSE())</f>
        <v xml:space="preserve"> -60…120</v>
      </c>
      <c r="I33" s="105" t="str">
        <f>VLOOKUP(B33,ИСХОДНИК!A:P,15,FALSE())</f>
        <v>U6 PL40R</v>
      </c>
      <c r="J33" s="139">
        <f>VLOOKUP(B33,ИСХОДНИК!A:P,13,FALSE())</f>
        <v>43800</v>
      </c>
      <c r="K33" s="139">
        <f>VLOOKUP(B33,ИСХОДНИК!A:P,14,FALSE())</f>
        <v>50808</v>
      </c>
      <c r="L33" s="140" t="str">
        <f>IF(VLOOKUP(B33,ИСХОДНИК!A:R,18,FALSE())=1,ИСХОДНИК!$T$2,IF(VLOOKUP(B33,ИСХОДНИК!A:R,18,FALSE())=2,ИСХОДНИК!$T$5,IF(VLOOKUP(B33,ИСХОДНИК!A:R,18,FALSE())=3,ИСХОДНИК!$T$6)))</f>
        <v>●</v>
      </c>
    </row>
    <row r="34" spans="2:12" ht="21.75" customHeight="1">
      <c r="B34" s="97" t="s">
        <v>345</v>
      </c>
      <c r="C34" s="196" t="str">
        <f>VLOOKUP(B34,ИСХОДНИК!A:P,5,FALSE())</f>
        <v>SCA 20 D ANG PN 52</v>
      </c>
      <c r="D34" s="197" t="str">
        <f>VLOOKUP(B34,ИСХОДНИК!A:P,11,FALSE())</f>
        <v>Под сварку встык DIN</v>
      </c>
      <c r="E34" s="182">
        <f>VLOOKUP(B34,ИСХОДНИК!A:P,7,FALSE())</f>
        <v>20</v>
      </c>
      <c r="F34" s="137" t="str">
        <f>VLOOKUP(B34,ИСХОДНИК!A:P,10,FALSE())</f>
        <v>R717, R744 и фреоны</v>
      </c>
      <c r="G34" s="137">
        <v>52</v>
      </c>
      <c r="H34" s="137" t="s">
        <v>346</v>
      </c>
      <c r="I34" s="105" t="str">
        <f>VLOOKUP(B34,ИСХОДНИК!A:P,15,FALSE())</f>
        <v>U6 PL40R</v>
      </c>
      <c r="J34" s="139">
        <f>VLOOKUP(B34,ИСХОДНИК!A:P,13,FALSE())</f>
        <v>46800</v>
      </c>
      <c r="K34" s="139">
        <f>VLOOKUP(B34,ИСХОДНИК!A:P,14,FALSE())</f>
        <v>54287.999999999993</v>
      </c>
      <c r="L34" s="104" t="str">
        <f>IF(VLOOKUP(B34,ИСХОДНИК!A:R,18,FALSE())=1,ИСХОДНИК!$T$2,IF(VLOOKUP(B34,ИСХОДНИК!A:R,18,FALSE())=2,ИСХОДНИК!$T$5,IF(VLOOKUP(B34,ИСХОДНИК!A:R,18,FALSE())=3,ИСХОДНИК!$T$6)))</f>
        <v>◑</v>
      </c>
    </row>
    <row r="35" spans="2:12" ht="21.75" customHeight="1">
      <c r="B35" s="97" t="s">
        <v>347</v>
      </c>
      <c r="C35" s="196" t="str">
        <f>VLOOKUP(B35,ИСХОДНИК!A:P,5,FALSE())</f>
        <v>SCA 25 D ANG PN 52</v>
      </c>
      <c r="D35" s="197" t="str">
        <f>VLOOKUP(B35,ИСХОДНИК!A:P,11,FALSE())</f>
        <v>Под сварку встык DIN</v>
      </c>
      <c r="E35" s="182">
        <f>VLOOKUP(B35,ИСХОДНИК!A:P,7,FALSE())</f>
        <v>25</v>
      </c>
      <c r="F35" s="137" t="str">
        <f>VLOOKUP(B35,ИСХОДНИК!A:P,10,FALSE())</f>
        <v>R717, R744 и фреоны</v>
      </c>
      <c r="G35" s="137">
        <v>52</v>
      </c>
      <c r="H35" s="137" t="s">
        <v>346</v>
      </c>
      <c r="I35" s="105" t="str">
        <f>VLOOKUP(B35,ИСХОДНИК!A:P,15,FALSE())</f>
        <v>U6 PL40R</v>
      </c>
      <c r="J35" s="139">
        <f>VLOOKUP(B35,ИСХОДНИК!A:P,13,FALSE())</f>
        <v>61200</v>
      </c>
      <c r="K35" s="139">
        <f>VLOOKUP(B35,ИСХОДНИК!A:P,14,FALSE())</f>
        <v>70992</v>
      </c>
      <c r="L35" s="104" t="str">
        <f>IF(VLOOKUP(B35,ИСХОДНИК!A:R,18,FALSE())=1,ИСХОДНИК!$T$2,IF(VLOOKUP(B35,ИСХОДНИК!A:R,18,FALSE())=2,ИСХОДНИК!$T$5,IF(VLOOKUP(B35,ИСХОДНИК!A:R,18,FALSE())=3,ИСХОДНИК!$T$6)))</f>
        <v>◑</v>
      </c>
    </row>
    <row r="36" spans="2:12" ht="21.75" customHeight="1">
      <c r="B36" s="97" t="s">
        <v>348</v>
      </c>
      <c r="C36" s="196" t="str">
        <f>VLOOKUP(B36,ИСХОДНИК!A:P,5,FALSE())</f>
        <v>SCA 32 D ANG PN 52</v>
      </c>
      <c r="D36" s="197" t="str">
        <f>VLOOKUP(B36,ИСХОДНИК!A:P,11,FALSE())</f>
        <v>Под сварку встык DIN</v>
      </c>
      <c r="E36" s="182">
        <f>VLOOKUP(B36,ИСХОДНИК!A:P,7,FALSE())</f>
        <v>32</v>
      </c>
      <c r="F36" s="137" t="str">
        <f>VLOOKUP(B36,ИСХОДНИК!A:P,10,FALSE())</f>
        <v>R717, R744 и фреоны</v>
      </c>
      <c r="G36" s="137">
        <v>52</v>
      </c>
      <c r="H36" s="137" t="s">
        <v>346</v>
      </c>
      <c r="I36" s="105" t="str">
        <f>VLOOKUP(B36,ИСХОДНИК!A:P,15,FALSE())</f>
        <v>U6 PL40R</v>
      </c>
      <c r="J36" s="139">
        <f>VLOOKUP(B36,ИСХОДНИК!A:P,13,FALSE())</f>
        <v>66000</v>
      </c>
      <c r="K36" s="139">
        <f>VLOOKUP(B36,ИСХОДНИК!A:P,14,FALSE())</f>
        <v>76560</v>
      </c>
      <c r="L36" s="140" t="str">
        <f>IF(VLOOKUP(B36,ИСХОДНИК!A:R,18,FALSE())=1,ИСХОДНИК!$T$2,IF(VLOOKUP(B36,ИСХОДНИК!A:R,18,FALSE())=2,ИСХОДНИК!$T$5,IF(VLOOKUP(B36,ИСХОДНИК!A:R,18,FALSE())=3,ИСХОДНИК!$T$6)))</f>
        <v>○</v>
      </c>
    </row>
    <row r="37" spans="2:12" ht="21.75" customHeight="1">
      <c r="B37" s="97" t="s">
        <v>349</v>
      </c>
      <c r="C37" s="196" t="str">
        <f>VLOOKUP(B37,ИСХОДНИК!A:P,5,FALSE())</f>
        <v>SCA 40 D ANG PN 52</v>
      </c>
      <c r="D37" s="197" t="str">
        <f>VLOOKUP(B37,ИСХОДНИК!A:P,11,FALSE())</f>
        <v>Под сварку встык DIN</v>
      </c>
      <c r="E37" s="182">
        <f>VLOOKUP(B37,ИСХОДНИК!A:P,7,FALSE())</f>
        <v>40</v>
      </c>
      <c r="F37" s="137" t="str">
        <f>VLOOKUP(B37,ИСХОДНИК!A:P,10,FALSE())</f>
        <v>R717, R744 и фреоны</v>
      </c>
      <c r="G37" s="137">
        <v>52</v>
      </c>
      <c r="H37" s="137" t="s">
        <v>346</v>
      </c>
      <c r="I37" s="105" t="str">
        <f>VLOOKUP(B37,ИСХОДНИК!A:P,15,FALSE())</f>
        <v>U6 PL40R</v>
      </c>
      <c r="J37" s="139">
        <f>VLOOKUP(B37,ИСХОДНИК!A:P,13,FALSE())</f>
        <v>90000</v>
      </c>
      <c r="K37" s="139">
        <f>VLOOKUP(B37,ИСХОДНИК!A:P,14,FALSE())</f>
        <v>104400</v>
      </c>
      <c r="L37" s="140" t="str">
        <f>IF(VLOOKUP(B37,ИСХОДНИК!A:R,18,FALSE())=1,ИСХОДНИК!$T$2,IF(VLOOKUP(B37,ИСХОДНИК!A:R,18,FALSE())=2,ИСХОДНИК!$T$5,IF(VLOOKUP(B37,ИСХОДНИК!A:R,18,FALSE())=3,ИСХОДНИК!$T$6)))</f>
        <v>○</v>
      </c>
    </row>
    <row r="38" spans="2:12" ht="21.75" customHeight="1">
      <c r="B38" s="97" t="s">
        <v>350</v>
      </c>
      <c r="C38" s="196" t="str">
        <f>VLOOKUP(B38,ИСХОДНИК!A:P,5,FALSE())</f>
        <v>SCA 50 D ANG PN 52</v>
      </c>
      <c r="D38" s="197" t="str">
        <f>VLOOKUP(B38,ИСХОДНИК!A:P,11,FALSE())</f>
        <v>Под сварку встык DIN</v>
      </c>
      <c r="E38" s="182">
        <f>VLOOKUP(B38,ИСХОДНИК!A:P,7,FALSE())</f>
        <v>50</v>
      </c>
      <c r="F38" s="137" t="str">
        <f>VLOOKUP(B38,ИСХОДНИК!A:P,10,FALSE())</f>
        <v>R717, R744 и фреоны</v>
      </c>
      <c r="G38" s="137">
        <v>52</v>
      </c>
      <c r="H38" s="137" t="s">
        <v>346</v>
      </c>
      <c r="I38" s="105" t="str">
        <f>VLOOKUP(B38,ИСХОДНИК!A:P,15,FALSE())</f>
        <v>U6 PL40R</v>
      </c>
      <c r="J38" s="139">
        <f>VLOOKUP(B38,ИСХОДНИК!A:P,13,FALSE())</f>
        <v>105000</v>
      </c>
      <c r="K38" s="139">
        <f>VLOOKUP(B38,ИСХОДНИК!A:P,14,FALSE())</f>
        <v>121799.99999999999</v>
      </c>
      <c r="L38" s="104" t="str">
        <f>IF(VLOOKUP(B38,ИСХОДНИК!A:R,18,FALSE())=1,ИСХОДНИК!$T$2,IF(VLOOKUP(B38,ИСХОДНИК!A:R,18,FALSE())=2,ИСХОДНИК!$T$5,IF(VLOOKUP(B38,ИСХОДНИК!A:R,18,FALSE())=3,ИСХОДНИК!$T$6)))</f>
        <v>◑</v>
      </c>
    </row>
    <row r="39" spans="2:12" ht="21.75" customHeight="1">
      <c r="B39" s="97" t="s">
        <v>351</v>
      </c>
      <c r="C39" s="196" t="str">
        <f>VLOOKUP(B39,ИСХОДНИК!A:P,5,FALSE())</f>
        <v>SCA 65 D ANG PN 52</v>
      </c>
      <c r="D39" s="197" t="str">
        <f>VLOOKUP(B39,ИСХОДНИК!A:P,11,FALSE())</f>
        <v>Под сварку встык DIN</v>
      </c>
      <c r="E39" s="182">
        <f>VLOOKUP(B39,ИСХОДНИК!A:P,7,FALSE())</f>
        <v>65</v>
      </c>
      <c r="F39" s="137" t="str">
        <f>VLOOKUP(B39,ИСХОДНИК!A:P,10,FALSE())</f>
        <v>R717, R744 и фреоны</v>
      </c>
      <c r="G39" s="137">
        <v>52</v>
      </c>
      <c r="H39" s="137" t="s">
        <v>346</v>
      </c>
      <c r="I39" s="105" t="str">
        <f>VLOOKUP(B39,ИСХОДНИК!A:P,15,FALSE())</f>
        <v>U6 PL40R</v>
      </c>
      <c r="J39" s="139">
        <f>VLOOKUP(B39,ИСХОДНИК!A:P,13,FALSE())</f>
        <v>153000</v>
      </c>
      <c r="K39" s="139">
        <f>VLOOKUP(B39,ИСХОДНИК!A:P,14,FALSE())</f>
        <v>177480</v>
      </c>
      <c r="L39" s="104" t="str">
        <f>IF(VLOOKUP(B39,ИСХОДНИК!A:R,18,FALSE())=1,ИСХОДНИК!$T$2,IF(VLOOKUP(B39,ИСХОДНИК!A:R,18,FALSE())=2,ИСХОДНИК!$T$5,IF(VLOOKUP(B39,ИСХОДНИК!A:R,18,FALSE())=3,ИСХОДНИК!$T$6)))</f>
        <v>◑</v>
      </c>
    </row>
    <row r="40" spans="2:12" ht="21.75" customHeight="1">
      <c r="B40" s="97" t="s">
        <v>352</v>
      </c>
      <c r="C40" s="196" t="str">
        <f>VLOOKUP(B40,ИСХОДНИК!A:P,5,FALSE())</f>
        <v>SCA 80 D ANG PN 52</v>
      </c>
      <c r="D40" s="197" t="str">
        <f>VLOOKUP(B40,ИСХОДНИК!A:P,11,FALSE())</f>
        <v>Под сварку встык DIN</v>
      </c>
      <c r="E40" s="182">
        <f>VLOOKUP(B40,ИСХОДНИК!A:P,7,FALSE())</f>
        <v>80</v>
      </c>
      <c r="F40" s="137" t="str">
        <f>VLOOKUP(B40,ИСХОДНИК!A:P,10,FALSE())</f>
        <v>R717, R744 и фреоны</v>
      </c>
      <c r="G40" s="137">
        <v>52</v>
      </c>
      <c r="H40" s="137" t="s">
        <v>346</v>
      </c>
      <c r="I40" s="105" t="str">
        <f>VLOOKUP(B40,ИСХОДНИК!A:P,15,FALSE())</f>
        <v>U6 PL40R</v>
      </c>
      <c r="J40" s="139">
        <f>VLOOKUP(B40,ИСХОДНИК!A:P,13,FALSE())</f>
        <v>174000</v>
      </c>
      <c r="K40" s="139">
        <f>VLOOKUP(B40,ИСХОДНИК!A:P,14,FALSE())</f>
        <v>201840</v>
      </c>
      <c r="L40" s="104" t="str">
        <f>IF(VLOOKUP(B40,ИСХОДНИК!A:R,18,FALSE())=1,ИСХОДНИК!$T$2,IF(VLOOKUP(B40,ИСХОДНИК!A:R,18,FALSE())=2,ИСХОДНИК!$T$5,IF(VLOOKUP(B40,ИСХОДНИК!A:R,18,FALSE())=3,ИСХОДНИК!$T$6)))</f>
        <v>◑</v>
      </c>
    </row>
    <row r="41" spans="2:12" ht="21.75" customHeight="1">
      <c r="B41" s="97" t="s">
        <v>353</v>
      </c>
      <c r="C41" s="196" t="str">
        <f>VLOOKUP(B41,ИСХОДНИК!A:P,5,FALSE())</f>
        <v>SCA 100 D ANG PN 52</v>
      </c>
      <c r="D41" s="197" t="str">
        <f>VLOOKUP(B41,ИСХОДНИК!A:P,11,FALSE())</f>
        <v>Под сварку встык DIN</v>
      </c>
      <c r="E41" s="182">
        <f>VLOOKUP(B41,ИСХОДНИК!A:P,7,FALSE())</f>
        <v>100</v>
      </c>
      <c r="F41" s="137" t="str">
        <f>VLOOKUP(B41,ИСХОДНИК!A:P,10,FALSE())</f>
        <v>R717, R744 и фреоны</v>
      </c>
      <c r="G41" s="137">
        <v>52</v>
      </c>
      <c r="H41" s="137" t="s">
        <v>346</v>
      </c>
      <c r="I41" s="105" t="str">
        <f>VLOOKUP(B41,ИСХОДНИК!A:P,15,FALSE())</f>
        <v>U6 PL40R</v>
      </c>
      <c r="J41" s="139">
        <f>VLOOKUP(B41,ИСХОДНИК!A:P,13,FALSE())</f>
        <v>288000</v>
      </c>
      <c r="K41" s="139">
        <f>VLOOKUP(B41,ИСХОДНИК!A:P,14,FALSE())</f>
        <v>334080</v>
      </c>
      <c r="L41" s="140" t="str">
        <f>IF(VLOOKUP(B41,ИСХОДНИК!A:R,18,FALSE())=1,ИСХОДНИК!$T$2,IF(VLOOKUP(B41,ИСХОДНИК!A:R,18,FALSE())=2,ИСХОДНИК!$T$5,IF(VLOOKUP(B41,ИСХОДНИК!A:R,18,FALSE())=3,ИСХОДНИК!$T$6)))</f>
        <v>○</v>
      </c>
    </row>
    <row r="42" spans="2:12" ht="21.75" customHeight="1">
      <c r="B42" s="97" t="s">
        <v>354</v>
      </c>
      <c r="C42" s="196" t="str">
        <f>VLOOKUP(B42,ИСХОДНИК!A:P,5,FALSE())</f>
        <v>SCA 100 G ANG PN 52</v>
      </c>
      <c r="D42" s="197" t="str">
        <f>VLOOKUP(B42,ИСХОДНИК!A:P,11,FALSE())</f>
        <v>Под сварку встык GOST</v>
      </c>
      <c r="E42" s="182">
        <f>VLOOKUP(B42,ИСХОДНИК!A:P,7,FALSE())</f>
        <v>100</v>
      </c>
      <c r="F42" s="137" t="str">
        <f>VLOOKUP(B42,ИСХОДНИК!A:P,10,FALSE())</f>
        <v>R717, R744 и фреоны</v>
      </c>
      <c r="G42" s="137">
        <v>52</v>
      </c>
      <c r="H42" s="137" t="s">
        <v>346</v>
      </c>
      <c r="I42" s="105" t="str">
        <f>VLOOKUP(B42,ИСХОДНИК!A:P,15,FALSE())</f>
        <v>U6 PL40R</v>
      </c>
      <c r="J42" s="139">
        <f>VLOOKUP(B42,ИСХОДНИК!A:P,13,FALSE())</f>
        <v>288000</v>
      </c>
      <c r="K42" s="139">
        <f>VLOOKUP(B42,ИСХОДНИК!A:P,14,FALSE())</f>
        <v>334080</v>
      </c>
      <c r="L42" s="140" t="str">
        <f>IF(VLOOKUP(B42,ИСХОДНИК!A:R,18,FALSE())=1,ИСХОДНИК!$T$2,IF(VLOOKUP(B42,ИСХОДНИК!A:R,18,FALSE())=2,ИСХОДНИК!$T$5,IF(VLOOKUP(B42,ИСХОДНИК!A:R,18,FALSE())=3,ИСХОДНИК!$T$6)))</f>
        <v>○</v>
      </c>
    </row>
    <row r="43" spans="2:12" ht="21.75" customHeight="1">
      <c r="B43" s="97" t="s">
        <v>355</v>
      </c>
      <c r="C43" s="196" t="str">
        <f>VLOOKUP(B43,ИСХОДНИК!A:P,5,FALSE())</f>
        <v>SCA 100 D ANG PN 40</v>
      </c>
      <c r="D43" s="197" t="str">
        <f>VLOOKUP(B43,ИСХОДНИК!A:P,11,FALSE())</f>
        <v>Под сварку встык DIN</v>
      </c>
      <c r="E43" s="182">
        <f>VLOOKUP(B43,ИСХОДНИК!A:P,7,FALSE())</f>
        <v>100</v>
      </c>
      <c r="F43" s="137" t="str">
        <f>VLOOKUP(B43,ИСХОДНИК!A:P,10,FALSE())</f>
        <v>R717, R744 и фреоны</v>
      </c>
      <c r="G43" s="137">
        <v>52</v>
      </c>
      <c r="H43" s="137" t="s">
        <v>346</v>
      </c>
      <c r="I43" s="105" t="str">
        <f>VLOOKUP(B43,ИСХОДНИК!A:P,15,FALSE())</f>
        <v>U6 PL40R</v>
      </c>
      <c r="J43" s="139">
        <f>VLOOKUP(B43,ИСХОДНИК!A:P,13,FALSE())</f>
        <v>252000</v>
      </c>
      <c r="K43" s="139">
        <f>VLOOKUP(B43,ИСХОДНИК!A:P,14,FALSE())</f>
        <v>292320</v>
      </c>
      <c r="L43" s="140" t="str">
        <f>IF(VLOOKUP(B43,ИСХОДНИК!A:R,18,FALSE())=1,ИСХОДНИК!$T$2,IF(VLOOKUP(B43,ИСХОДНИК!A:R,18,FALSE())=2,ИСХОДНИК!$T$5,IF(VLOOKUP(B43,ИСХОДНИК!A:R,18,FALSE())=3,ИСХОДНИК!$T$6)))</f>
        <v>○</v>
      </c>
    </row>
    <row r="44" spans="2:12" ht="21.75" customHeight="1">
      <c r="B44" s="97" t="s">
        <v>356</v>
      </c>
      <c r="C44" s="196" t="str">
        <f>VLOOKUP(B44,ИСХОДНИК!A:P,5,FALSE())</f>
        <v>SCA 100 G ANG PN 40</v>
      </c>
      <c r="D44" s="197" t="str">
        <f>VLOOKUP(B44,ИСХОДНИК!A:P,11,FALSE())</f>
        <v>Под сварку встык GOST</v>
      </c>
      <c r="E44" s="182">
        <f>VLOOKUP(B44,ИСХОДНИК!A:P,7,FALSE())</f>
        <v>100</v>
      </c>
      <c r="F44" s="137" t="str">
        <f>VLOOKUP(B44,ИСХОДНИК!A:P,10,FALSE())</f>
        <v>R717, R744 и фреоны</v>
      </c>
      <c r="G44" s="137">
        <v>52</v>
      </c>
      <c r="H44" s="137" t="s">
        <v>346</v>
      </c>
      <c r="I44" s="105" t="str">
        <f>VLOOKUP(B44,ИСХОДНИК!A:P,15,FALSE())</f>
        <v>U6 PL40R</v>
      </c>
      <c r="J44" s="139">
        <f>VLOOKUP(B44,ИСХОДНИК!A:P,13,FALSE())</f>
        <v>252000</v>
      </c>
      <c r="K44" s="139">
        <f>VLOOKUP(B44,ИСХОДНИК!A:P,14,FALSE())</f>
        <v>292320</v>
      </c>
      <c r="L44" s="140" t="str">
        <f>IF(VLOOKUP(B44,ИСХОДНИК!A:R,18,FALSE())=1,ИСХОДНИК!$T$2,IF(VLOOKUP(B44,ИСХОДНИК!A:R,18,FALSE())=2,ИСХОДНИК!$T$5,IF(VLOOKUP(B44,ИСХОДНИК!A:R,18,FALSE())=3,ИСХОДНИК!$T$6)))</f>
        <v>○</v>
      </c>
    </row>
    <row r="45" spans="2:12" ht="21.75" customHeight="1">
      <c r="B45" s="97" t="s">
        <v>357</v>
      </c>
      <c r="C45" s="196" t="str">
        <f>VLOOKUP(B45,ИСХОДНИК!A:P,5,FALSE())</f>
        <v>SCA 125 D ANG PN 52</v>
      </c>
      <c r="D45" s="197" t="str">
        <f>VLOOKUP(B45,ИСХОДНИК!A:P,11,FALSE())</f>
        <v>Под сварку встык DIN</v>
      </c>
      <c r="E45" s="182">
        <f>VLOOKUP(B45,ИСХОДНИК!A:P,7,FALSE())</f>
        <v>125</v>
      </c>
      <c r="F45" s="137" t="str">
        <f>VLOOKUP(B45,ИСХОДНИК!A:P,10,FALSE())</f>
        <v>R717, R744 и фреоны</v>
      </c>
      <c r="G45" s="137">
        <v>52</v>
      </c>
      <c r="H45" s="137" t="s">
        <v>346</v>
      </c>
      <c r="I45" s="105" t="str">
        <f>VLOOKUP(B45,ИСХОДНИК!A:P,15,FALSE())</f>
        <v>U6 PL40R</v>
      </c>
      <c r="J45" s="139">
        <f>VLOOKUP(B45,ИСХОДНИК!A:P,13,FALSE())</f>
        <v>594000</v>
      </c>
      <c r="K45" s="139">
        <f>VLOOKUP(B45,ИСХОДНИК!A:P,14,FALSE())</f>
        <v>689040</v>
      </c>
      <c r="L45" s="140" t="str">
        <f>IF(VLOOKUP(B45,ИСХОДНИК!A:R,18,FALSE())=1,ИСХОДНИК!$T$2,IF(VLOOKUP(B45,ИСХОДНИК!A:R,18,FALSE())=2,ИСХОДНИК!$T$5,IF(VLOOKUP(B45,ИСХОДНИК!A:R,18,FALSE())=3,ИСХОДНИК!$T$6)))</f>
        <v>○</v>
      </c>
    </row>
    <row r="46" spans="2:12" ht="21.75" customHeight="1">
      <c r="B46" s="97" t="s">
        <v>358</v>
      </c>
      <c r="C46" s="196" t="str">
        <f>VLOOKUP(B46,ИСХОДНИК!A:P,5,FALSE())</f>
        <v>SCA 125 G ANG PN 52</v>
      </c>
      <c r="D46" s="197" t="str">
        <f>VLOOKUP(B46,ИСХОДНИК!A:P,11,FALSE())</f>
        <v>Под сварку встык GOST</v>
      </c>
      <c r="E46" s="182">
        <f>VLOOKUP(B46,ИСХОДНИК!A:P,7,FALSE())</f>
        <v>125</v>
      </c>
      <c r="F46" s="137" t="str">
        <f>VLOOKUP(B46,ИСХОДНИК!A:P,10,FALSE())</f>
        <v>R717, R744 и фреоны</v>
      </c>
      <c r="G46" s="137">
        <v>52</v>
      </c>
      <c r="H46" s="137" t="s">
        <v>346</v>
      </c>
      <c r="I46" s="105" t="str">
        <f>VLOOKUP(B46,ИСХОДНИК!A:P,15,FALSE())</f>
        <v>U6 PL40R</v>
      </c>
      <c r="J46" s="139">
        <f>VLOOKUP(B46,ИСХОДНИК!A:P,13,FALSE())</f>
        <v>594000</v>
      </c>
      <c r="K46" s="139">
        <f>VLOOKUP(B46,ИСХОДНИК!A:P,14,FALSE())</f>
        <v>689040</v>
      </c>
      <c r="L46" s="140" t="str">
        <f>IF(VLOOKUP(B46,ИСХОДНИК!A:R,18,FALSE())=1,ИСХОДНИК!$T$2,IF(VLOOKUP(B46,ИСХОДНИК!A:R,18,FALSE())=2,ИСХОДНИК!$T$5,IF(VLOOKUP(B46,ИСХОДНИК!A:R,18,FALSE())=3,ИСХОДНИК!$T$6)))</f>
        <v>○</v>
      </c>
    </row>
    <row r="47" spans="2:12" ht="21.75" customHeight="1">
      <c r="B47" s="97" t="s">
        <v>359</v>
      </c>
      <c r="C47" s="196" t="str">
        <f>VLOOKUP(B47,ИСХОДНИК!A:P,5,FALSE())</f>
        <v>SCA 125 D ANG PN 40</v>
      </c>
      <c r="D47" s="197" t="str">
        <f>VLOOKUP(B47,ИСХОДНИК!A:P,11,FALSE())</f>
        <v>Под сварку встык DIN</v>
      </c>
      <c r="E47" s="182">
        <f>VLOOKUP(B47,ИСХОДНИК!A:P,7,FALSE())</f>
        <v>125</v>
      </c>
      <c r="F47" s="137" t="str">
        <f>VLOOKUP(B47,ИСХОДНИК!A:P,10,FALSE())</f>
        <v>R717, R744 и фреоны</v>
      </c>
      <c r="G47" s="137">
        <v>52</v>
      </c>
      <c r="H47" s="137" t="s">
        <v>346</v>
      </c>
      <c r="I47" s="105" t="str">
        <f>VLOOKUP(B47,ИСХОДНИК!A:P,15,FALSE())</f>
        <v>U6 PL40R</v>
      </c>
      <c r="J47" s="139">
        <f>VLOOKUP(B47,ИСХОДНИК!A:P,13,FALSE())</f>
        <v>498000</v>
      </c>
      <c r="K47" s="139">
        <f>VLOOKUP(B47,ИСХОДНИК!A:P,14,FALSE())</f>
        <v>577680</v>
      </c>
      <c r="L47" s="140" t="str">
        <f>IF(VLOOKUP(B47,ИСХОДНИК!A:R,18,FALSE())=1,ИСХОДНИК!$T$2,IF(VLOOKUP(B47,ИСХОДНИК!A:R,18,FALSE())=2,ИСХОДНИК!$T$5,IF(VLOOKUP(B47,ИСХОДНИК!A:R,18,FALSE())=3,ИСХОДНИК!$T$6)))</f>
        <v>○</v>
      </c>
    </row>
    <row r="48" spans="2:12" ht="21.75" customHeight="1">
      <c r="B48" s="97" t="s">
        <v>360</v>
      </c>
      <c r="C48" s="196" t="str">
        <f>VLOOKUP(B48,ИСХОДНИК!A:P,5,FALSE())</f>
        <v>SCA 125 G ANG PN 40</v>
      </c>
      <c r="D48" s="197" t="str">
        <f>VLOOKUP(B48,ИСХОДНИК!A:P,11,FALSE())</f>
        <v>Под сварку встык GOST</v>
      </c>
      <c r="E48" s="182">
        <f>VLOOKUP(B48,ИСХОДНИК!A:P,7,FALSE())</f>
        <v>125</v>
      </c>
      <c r="F48" s="137" t="str">
        <f>VLOOKUP(B48,ИСХОДНИК!A:P,10,FALSE())</f>
        <v>R717, R744 и фреоны</v>
      </c>
      <c r="G48" s="137">
        <v>52</v>
      </c>
      <c r="H48" s="137" t="s">
        <v>346</v>
      </c>
      <c r="I48" s="105" t="str">
        <f>VLOOKUP(B48,ИСХОДНИК!A:P,15,FALSE())</f>
        <v>U6 PL40R</v>
      </c>
      <c r="J48" s="139">
        <f>VLOOKUP(B48,ИСХОДНИК!A:P,13,FALSE())</f>
        <v>498000</v>
      </c>
      <c r="K48" s="139">
        <f>VLOOKUP(B48,ИСХОДНИК!A:P,14,FALSE())</f>
        <v>577680</v>
      </c>
      <c r="L48" s="140" t="str">
        <f>IF(VLOOKUP(B48,ИСХОДНИК!A:R,18,FALSE())=1,ИСХОДНИК!$T$2,IF(VLOOKUP(B48,ИСХОДНИК!A:R,18,FALSE())=2,ИСХОДНИК!$T$5,IF(VLOOKUP(B48,ИСХОДНИК!A:R,18,FALSE())=3,ИСХОДНИК!$T$6)))</f>
        <v>○</v>
      </c>
    </row>
    <row r="49" spans="2:13" ht="21.75" customHeight="1">
      <c r="B49" s="97" t="s">
        <v>361</v>
      </c>
      <c r="C49" s="196" t="str">
        <f>VLOOKUP(B49,ИСХОДНИК!A:P,5,FALSE())</f>
        <v>SCA 150 D ANG PN 52</v>
      </c>
      <c r="D49" s="197" t="str">
        <f>VLOOKUP(B49,ИСХОДНИК!A:P,11,FALSE())</f>
        <v>Под сварку встык DIN</v>
      </c>
      <c r="E49" s="182">
        <f>VLOOKUP(B49,ИСХОДНИК!A:P,7,FALSE())</f>
        <v>150</v>
      </c>
      <c r="F49" s="137" t="str">
        <f>VLOOKUP(B49,ИСХОДНИК!A:P,10,FALSE())</f>
        <v>R717, R744 и фреоны</v>
      </c>
      <c r="G49" s="137">
        <v>52</v>
      </c>
      <c r="H49" s="137" t="s">
        <v>346</v>
      </c>
      <c r="I49" s="105" t="str">
        <f>VLOOKUP(B49,ИСХОДНИК!A:P,15,FALSE())</f>
        <v>U6 PL40R</v>
      </c>
      <c r="J49" s="139">
        <f>VLOOKUP(B49,ИСХОДНИК!A:P,13,FALSE())</f>
        <v>840000</v>
      </c>
      <c r="K49" s="139">
        <f>VLOOKUP(B49,ИСХОДНИК!A:P,14,FALSE())</f>
        <v>974399.99999999988</v>
      </c>
      <c r="L49" s="140" t="str">
        <f>IF(VLOOKUP(B49,ИСХОДНИК!A:R,18,FALSE())=1,ИСХОДНИК!$T$2,IF(VLOOKUP(B49,ИСХОДНИК!A:R,18,FALSE())=2,ИСХОДНИК!$T$5,IF(VLOOKUP(B49,ИСХОДНИК!A:R,18,FALSE())=3,ИСХОДНИК!$T$6)))</f>
        <v>○</v>
      </c>
    </row>
    <row r="50" spans="2:13" ht="21.75" customHeight="1">
      <c r="B50" s="97" t="s">
        <v>362</v>
      </c>
      <c r="C50" s="196" t="str">
        <f>VLOOKUP(B50,ИСХОДНИК!A:P,5,FALSE())</f>
        <v>SCA 150 G ANG PN 52</v>
      </c>
      <c r="D50" s="197" t="str">
        <f>VLOOKUP(B50,ИСХОДНИК!A:P,11,FALSE())</f>
        <v>Под сварку встык GOST</v>
      </c>
      <c r="E50" s="182">
        <f>VLOOKUP(B50,ИСХОДНИК!A:P,7,FALSE())</f>
        <v>150</v>
      </c>
      <c r="F50" s="137" t="str">
        <f>VLOOKUP(B50,ИСХОДНИК!A:P,10,FALSE())</f>
        <v>R717, R744 и фреоны</v>
      </c>
      <c r="G50" s="137">
        <v>52</v>
      </c>
      <c r="H50" s="137" t="s">
        <v>346</v>
      </c>
      <c r="I50" s="105" t="str">
        <f>VLOOKUP(B50,ИСХОДНИК!A:P,15,FALSE())</f>
        <v>U6 PL40R</v>
      </c>
      <c r="J50" s="139">
        <f>VLOOKUP(B50,ИСХОДНИК!A:P,13,FALSE())</f>
        <v>840000</v>
      </c>
      <c r="K50" s="139">
        <f>VLOOKUP(B50,ИСХОДНИК!A:P,14,FALSE())</f>
        <v>974399.99999999988</v>
      </c>
      <c r="L50" s="140" t="str">
        <f>IF(VLOOKUP(B50,ИСХОДНИК!A:R,18,FALSE())=1,ИСХОДНИК!$T$2,IF(VLOOKUP(B50,ИСХОДНИК!A:R,18,FALSE())=2,ИСХОДНИК!$T$5,IF(VLOOKUP(B50,ИСХОДНИК!A:R,18,FALSE())=3,ИСХОДНИК!$T$6)))</f>
        <v>○</v>
      </c>
    </row>
    <row r="51" spans="2:13" ht="21.75" customHeight="1">
      <c r="B51" s="97" t="s">
        <v>363</v>
      </c>
      <c r="C51" s="196" t="str">
        <f>VLOOKUP(B51,ИСХОДНИК!A:P,5,FALSE())</f>
        <v>SCA 150 D ANG PN 40</v>
      </c>
      <c r="D51" s="197" t="str">
        <f>VLOOKUP(B51,ИСХОДНИК!A:P,11,FALSE())</f>
        <v>Под сварку встык DIN</v>
      </c>
      <c r="E51" s="182">
        <f>VLOOKUP(B51,ИСХОДНИК!A:P,7,FALSE())</f>
        <v>150</v>
      </c>
      <c r="F51" s="137" t="str">
        <f>VLOOKUP(B51,ИСХОДНИК!A:P,10,FALSE())</f>
        <v>R717, R744 и фреоны</v>
      </c>
      <c r="G51" s="137">
        <v>52</v>
      </c>
      <c r="H51" s="137" t="s">
        <v>346</v>
      </c>
      <c r="I51" s="105" t="str">
        <f>VLOOKUP(B51,ИСХОДНИК!A:P,15,FALSE())</f>
        <v>U6 PL40R</v>
      </c>
      <c r="J51" s="139">
        <f>VLOOKUP(B51,ИСХОДНИК!A:P,13,FALSE())</f>
        <v>720000</v>
      </c>
      <c r="K51" s="139">
        <f>VLOOKUP(B51,ИСХОДНИК!A:P,14,FALSE())</f>
        <v>835200</v>
      </c>
      <c r="L51" s="140" t="str">
        <f>IF(VLOOKUP(B51,ИСХОДНИК!A:R,18,FALSE())=1,ИСХОДНИК!$T$2,IF(VLOOKUP(B51,ИСХОДНИК!A:R,18,FALSE())=2,ИСХОДНИК!$T$5,IF(VLOOKUP(B51,ИСХОДНИК!A:R,18,FALSE())=3,ИСХОДНИК!$T$6)))</f>
        <v>○</v>
      </c>
    </row>
    <row r="52" spans="2:13" ht="21.75" customHeight="1">
      <c r="B52" s="97" t="s">
        <v>364</v>
      </c>
      <c r="C52" s="196" t="str">
        <f>VLOOKUP(B52,ИСХОДНИК!A:P,5,FALSE())</f>
        <v>SCA 150 G ANG PN 40</v>
      </c>
      <c r="D52" s="197" t="str">
        <f>VLOOKUP(B52,ИСХОДНИК!A:P,11,FALSE())</f>
        <v>Под сварку встык GOST</v>
      </c>
      <c r="E52" s="182">
        <f>VLOOKUP(B52,ИСХОДНИК!A:P,7,FALSE())</f>
        <v>150</v>
      </c>
      <c r="F52" s="137" t="str">
        <f>VLOOKUP(B52,ИСХОДНИК!A:P,10,FALSE())</f>
        <v>R717, R744 и фреоны</v>
      </c>
      <c r="G52" s="137">
        <v>52</v>
      </c>
      <c r="H52" s="137" t="s">
        <v>346</v>
      </c>
      <c r="I52" s="105" t="str">
        <f>VLOOKUP(B52,ИСХОДНИК!A:P,15,FALSE())</f>
        <v>U6 PL40R</v>
      </c>
      <c r="J52" s="139">
        <f>VLOOKUP(B52,ИСХОДНИК!A:P,13,FALSE())</f>
        <v>720000</v>
      </c>
      <c r="K52" s="139">
        <f>VLOOKUP(B52,ИСХОДНИК!A:P,14,FALSE())</f>
        <v>835200</v>
      </c>
      <c r="L52" s="140" t="str">
        <f>IF(VLOOKUP(B52,ИСХОДНИК!A:R,18,FALSE())=1,ИСХОДНИК!$T$2,IF(VLOOKUP(B52,ИСХОДНИК!A:R,18,FALSE())=2,ИСХОДНИК!$T$5,IF(VLOOKUP(B52,ИСХОДНИК!A:R,18,FALSE())=3,ИСХОДНИК!$T$6)))</f>
        <v>○</v>
      </c>
    </row>
    <row r="55" spans="2:13" ht="13.5">
      <c r="B55" s="505" t="s">
        <v>199</v>
      </c>
      <c r="C55" s="505"/>
      <c r="D55" s="505"/>
      <c r="E55" s="505"/>
      <c r="F55" s="505"/>
      <c r="G55" s="505"/>
      <c r="H55" s="505"/>
      <c r="I55" s="505"/>
      <c r="J55" s="505"/>
      <c r="K55" s="505"/>
      <c r="L55" s="505"/>
      <c r="M55" s="505"/>
    </row>
    <row r="56" spans="2:13" ht="13.5">
      <c r="B56" s="228"/>
      <c r="C56" s="203"/>
      <c r="D56" s="201"/>
      <c r="E56" s="202"/>
      <c r="F56" s="201"/>
      <c r="G56" s="203"/>
      <c r="H56" s="202"/>
      <c r="I56" s="201"/>
      <c r="J56" s="203"/>
      <c r="K56" s="203"/>
      <c r="L56" s="202"/>
      <c r="M56" s="28"/>
    </row>
    <row r="57" spans="2:13" ht="13.5">
      <c r="B57" s="229"/>
      <c r="C57" s="28"/>
      <c r="D57" s="204"/>
      <c r="E57" s="121"/>
      <c r="F57" s="204"/>
      <c r="G57" s="28"/>
      <c r="H57" s="121"/>
      <c r="I57" s="204"/>
      <c r="J57" s="28"/>
      <c r="K57" s="28"/>
      <c r="L57" s="121"/>
      <c r="M57" s="28"/>
    </row>
    <row r="58" spans="2:13" ht="13.5">
      <c r="B58" s="229"/>
      <c r="C58" s="28"/>
      <c r="D58" s="204"/>
      <c r="E58" s="121"/>
      <c r="F58" s="204"/>
      <c r="G58" s="28"/>
      <c r="H58" s="121"/>
      <c r="I58" s="204"/>
      <c r="J58" s="28"/>
      <c r="K58" s="28"/>
      <c r="L58" s="121"/>
      <c r="M58" s="28"/>
    </row>
    <row r="59" spans="2:13" ht="13.5">
      <c r="B59" s="229"/>
      <c r="C59" s="28"/>
      <c r="D59" s="204"/>
      <c r="E59" s="121"/>
      <c r="F59" s="204"/>
      <c r="G59" s="28"/>
      <c r="H59" s="121"/>
      <c r="I59" s="204"/>
      <c r="J59" s="28"/>
      <c r="K59" s="28"/>
      <c r="L59" s="121"/>
      <c r="M59" s="28"/>
    </row>
    <row r="60" spans="2:13" ht="13.5">
      <c r="B60" s="229"/>
      <c r="C60" s="28"/>
      <c r="D60" s="204"/>
      <c r="E60" s="121"/>
      <c r="F60" s="204"/>
      <c r="G60" s="28"/>
      <c r="H60" s="121"/>
      <c r="I60" s="204"/>
      <c r="J60" s="28"/>
      <c r="K60" s="28"/>
      <c r="L60" s="121"/>
      <c r="M60" s="28"/>
    </row>
    <row r="61" spans="2:13" ht="13.5">
      <c r="B61" s="229"/>
      <c r="C61" s="28"/>
      <c r="D61" s="204"/>
      <c r="E61" s="121"/>
      <c r="F61" s="204"/>
      <c r="G61" s="28"/>
      <c r="H61" s="121"/>
      <c r="I61" s="204"/>
      <c r="J61" s="28"/>
      <c r="K61" s="28"/>
      <c r="L61" s="121"/>
      <c r="M61" s="28"/>
    </row>
    <row r="62" spans="2:13" ht="13.5">
      <c r="B62" s="229"/>
      <c r="C62" s="28"/>
      <c r="D62" s="204"/>
      <c r="E62" s="121"/>
      <c r="F62" s="204"/>
      <c r="G62" s="28"/>
      <c r="H62" s="121"/>
      <c r="I62" s="204"/>
      <c r="J62" s="28"/>
      <c r="K62" s="28"/>
      <c r="L62" s="121"/>
      <c r="M62" s="28"/>
    </row>
    <row r="63" spans="2:13" ht="13.5">
      <c r="B63" s="229"/>
      <c r="C63" s="28"/>
      <c r="D63" s="204"/>
      <c r="E63" s="121"/>
      <c r="F63" s="204"/>
      <c r="G63" s="28"/>
      <c r="H63" s="121"/>
      <c r="I63" s="204"/>
      <c r="J63" s="28"/>
      <c r="K63" s="28"/>
      <c r="L63" s="121"/>
      <c r="M63" s="28"/>
    </row>
    <row r="64" spans="2:13" ht="13.5">
      <c r="B64" s="229"/>
      <c r="C64" s="28"/>
      <c r="D64" s="204"/>
      <c r="E64" s="121"/>
      <c r="F64" s="204"/>
      <c r="G64" s="28"/>
      <c r="H64" s="121"/>
      <c r="I64" s="204"/>
      <c r="J64" s="28"/>
      <c r="K64" s="28"/>
      <c r="L64" s="121"/>
      <c r="M64" s="28"/>
    </row>
    <row r="65" spans="2:13" ht="13.5">
      <c r="B65" s="229"/>
      <c r="C65" s="28"/>
      <c r="D65" s="204"/>
      <c r="E65" s="121"/>
      <c r="F65" s="204"/>
      <c r="G65" s="28"/>
      <c r="H65" s="121"/>
      <c r="I65" s="204"/>
      <c r="J65" s="28"/>
      <c r="K65" s="28"/>
      <c r="L65" s="121"/>
      <c r="M65" s="28"/>
    </row>
    <row r="66" spans="2:13" ht="13.5">
      <c r="B66" s="229"/>
      <c r="C66" s="28"/>
      <c r="D66" s="204"/>
      <c r="E66" s="121"/>
      <c r="F66" s="204"/>
      <c r="G66" s="28"/>
      <c r="H66" s="121"/>
      <c r="I66" s="204"/>
      <c r="J66" s="28"/>
      <c r="K66" s="28"/>
      <c r="L66" s="121"/>
      <c r="M66" s="28"/>
    </row>
    <row r="67" spans="2:13" ht="13.5">
      <c r="B67" s="229"/>
      <c r="C67" s="28"/>
      <c r="D67" s="204"/>
      <c r="E67" s="121"/>
      <c r="F67" s="204"/>
      <c r="G67" s="28"/>
      <c r="H67" s="121"/>
      <c r="I67" s="204"/>
      <c r="J67" s="28"/>
      <c r="K67" s="28"/>
      <c r="L67" s="121"/>
      <c r="M67" s="28"/>
    </row>
    <row r="68" spans="2:13" ht="13.5">
      <c r="B68" s="229"/>
      <c r="C68" s="28"/>
      <c r="D68" s="204"/>
      <c r="E68" s="121"/>
      <c r="F68" s="204"/>
      <c r="G68" s="28"/>
      <c r="H68" s="121"/>
      <c r="I68" s="204"/>
      <c r="J68" s="28"/>
      <c r="K68" s="28"/>
      <c r="L68" s="121"/>
      <c r="M68" s="28"/>
    </row>
    <row r="69" spans="2:13" ht="13.5">
      <c r="B69" s="229"/>
      <c r="C69" s="28"/>
      <c r="D69" s="204"/>
      <c r="E69" s="121"/>
      <c r="F69" s="204"/>
      <c r="G69" s="28"/>
      <c r="H69" s="121"/>
      <c r="I69" s="204"/>
      <c r="J69" s="28"/>
      <c r="K69" s="28"/>
      <c r="L69" s="121"/>
      <c r="M69" s="28"/>
    </row>
    <row r="70" spans="2:13" ht="13.5">
      <c r="B70" s="234"/>
      <c r="C70" s="207"/>
      <c r="D70" s="205"/>
      <c r="E70" s="206"/>
      <c r="F70" s="205"/>
      <c r="G70" s="207"/>
      <c r="H70" s="206"/>
      <c r="I70" s="205"/>
      <c r="J70" s="207"/>
      <c r="K70" s="207"/>
      <c r="L70" s="206"/>
      <c r="M70" s="28"/>
    </row>
    <row r="71" spans="2:13" ht="35" customHeight="1">
      <c r="B71" s="94" t="s">
        <v>200</v>
      </c>
      <c r="C71" s="519" t="s">
        <v>365</v>
      </c>
      <c r="D71" s="519"/>
      <c r="E71" s="519"/>
      <c r="F71" s="519"/>
      <c r="G71" s="519"/>
      <c r="H71" s="237" t="s">
        <v>201</v>
      </c>
      <c r="I71" s="94" t="s">
        <v>67</v>
      </c>
      <c r="J71" s="95" t="s">
        <v>74</v>
      </c>
      <c r="K71" s="95" t="s">
        <v>75</v>
      </c>
      <c r="L71" s="133" t="s">
        <v>55</v>
      </c>
    </row>
    <row r="72" spans="2:13" ht="18" customHeight="1">
      <c r="B72" s="97" t="s">
        <v>202</v>
      </c>
      <c r="C72" s="495" t="str">
        <f>VLOOKUP(B72,ИСХОДНИК!A:P,3,FALSE())</f>
        <v>Универсальная прокладка DN 15-25. Мультипак 10 шт.</v>
      </c>
      <c r="D72" s="495"/>
      <c r="E72" s="495"/>
      <c r="F72" s="495"/>
      <c r="G72" s="495"/>
      <c r="H72" s="105">
        <v>7</v>
      </c>
      <c r="I72" s="105" t="str">
        <f>VLOOKUP(B72,ИСХОДНИК!A:P,15,FALSE())</f>
        <v>U6 PL40R</v>
      </c>
      <c r="J72" s="139">
        <f>VLOOKUP(B72,ИСХОДНИК!A:P,13,FALSE())</f>
        <v>7200</v>
      </c>
      <c r="K72" s="139">
        <f>VLOOKUP(B72,ИСХОДНИК!A:P,14,FALSE())</f>
        <v>8352</v>
      </c>
      <c r="L72" s="104" t="str">
        <f>IF(VLOOKUP(B72,ИСХОДНИК!A:R,18,FALSE())=1,ИСХОДНИК!$T$2,IF(VLOOKUP(B72,ИСХОДНИК!A:R,18,FALSE())=2,ИСХОДНИК!$T$5,IF(VLOOKUP(B72,ИСХОДНИК!A:R,18,FALSE())=3,ИСХОДНИК!$T$6)))</f>
        <v>◑</v>
      </c>
    </row>
    <row r="73" spans="2:13" ht="18" customHeight="1">
      <c r="B73" s="97" t="s">
        <v>203</v>
      </c>
      <c r="C73" s="495" t="str">
        <f>VLOOKUP(B73,ИСХОДНИК!A:P,3,FALSE())</f>
        <v>Универсальная прокладка DN 32-40. Мультипак 10 шт.</v>
      </c>
      <c r="D73" s="495"/>
      <c r="E73" s="495"/>
      <c r="F73" s="495"/>
      <c r="G73" s="495"/>
      <c r="H73" s="105">
        <v>7</v>
      </c>
      <c r="I73" s="105" t="str">
        <f>VLOOKUP(B73,ИСХОДНИК!A:P,15,FALSE())</f>
        <v>U6 PL40R</v>
      </c>
      <c r="J73" s="139">
        <f>VLOOKUP(B73,ИСХОДНИК!A:P,13,FALSE())</f>
        <v>9000</v>
      </c>
      <c r="K73" s="139">
        <f>VLOOKUP(B73,ИСХОДНИК!A:P,14,FALSE())</f>
        <v>10440</v>
      </c>
      <c r="L73" s="104" t="str">
        <f>IF(VLOOKUP(B73,ИСХОДНИК!A:R,18,FALSE())=1,ИСХОДНИК!$T$2,IF(VLOOKUP(B73,ИСХОДНИК!A:R,18,FALSE())=2,ИСХОДНИК!$T$5,IF(VLOOKUP(B73,ИСХОДНИК!A:R,18,FALSE())=3,ИСХОДНИК!$T$6)))</f>
        <v>◑</v>
      </c>
    </row>
    <row r="74" spans="2:13" ht="18" customHeight="1">
      <c r="B74" s="97" t="s">
        <v>204</v>
      </c>
      <c r="C74" s="495" t="str">
        <f>VLOOKUP(B74,ИСХОДНИК!A:P,3,FALSE())</f>
        <v>Универсальная прокладка DN 50. Мультипак 10 шт.</v>
      </c>
      <c r="D74" s="495"/>
      <c r="E74" s="495"/>
      <c r="F74" s="495"/>
      <c r="G74" s="495"/>
      <c r="H74" s="105">
        <v>7</v>
      </c>
      <c r="I74" s="105" t="str">
        <f>VLOOKUP(B74,ИСХОДНИК!A:P,15,FALSE())</f>
        <v>U6 PL40R</v>
      </c>
      <c r="J74" s="139">
        <f>VLOOKUP(B74,ИСХОДНИК!A:P,13,FALSE())</f>
        <v>14400</v>
      </c>
      <c r="K74" s="139">
        <f>VLOOKUP(B74,ИСХОДНИК!A:P,14,FALSE())</f>
        <v>16704</v>
      </c>
      <c r="L74" s="104" t="str">
        <f>IF(VLOOKUP(B74,ИСХОДНИК!A:R,18,FALSE())=1,ИСХОДНИК!$T$2,IF(VLOOKUP(B74,ИСХОДНИК!A:R,18,FALSE())=2,ИСХОДНИК!$T$5,IF(VLOOKUP(B74,ИСХОДНИК!A:R,18,FALSE())=3,ИСХОДНИК!$T$6)))</f>
        <v>◑</v>
      </c>
    </row>
    <row r="75" spans="2:13" ht="18" customHeight="1">
      <c r="B75" s="97" t="s">
        <v>205</v>
      </c>
      <c r="C75" s="495" t="str">
        <f>VLOOKUP(B75,ИСХОДНИК!A:P,3,FALSE())</f>
        <v>Универсальная прокладка DN 65. Мультипак 10 шт.</v>
      </c>
      <c r="D75" s="495"/>
      <c r="E75" s="495"/>
      <c r="F75" s="495"/>
      <c r="G75" s="495"/>
      <c r="H75" s="105">
        <v>7</v>
      </c>
      <c r="I75" s="105" t="str">
        <f>VLOOKUP(B75,ИСХОДНИК!A:P,15,FALSE())</f>
        <v>U6 PL40R</v>
      </c>
      <c r="J75" s="139">
        <f>VLOOKUP(B75,ИСХОДНИК!A:P,13,FALSE())</f>
        <v>18000</v>
      </c>
      <c r="K75" s="139">
        <f>VLOOKUP(B75,ИСХОДНИК!A:P,14,FALSE())</f>
        <v>20880</v>
      </c>
      <c r="L75" s="104" t="str">
        <f>IF(VLOOKUP(B75,ИСХОДНИК!A:R,18,FALSE())=1,ИСХОДНИК!$T$2,IF(VLOOKUP(B75,ИСХОДНИК!A:R,18,FALSE())=2,ИСХОДНИК!$T$5,IF(VLOOKUP(B75,ИСХОДНИК!A:R,18,FALSE())=3,ИСХОДНИК!$T$6)))</f>
        <v>◑</v>
      </c>
    </row>
    <row r="76" spans="2:13" ht="18" customHeight="1">
      <c r="B76" s="97" t="s">
        <v>206</v>
      </c>
      <c r="C76" s="495" t="str">
        <f>VLOOKUP(B76,ИСХОДНИК!A:P,3,FALSE())</f>
        <v>Универсальная прокладка DN 80. Мультипак 10 шт.</v>
      </c>
      <c r="D76" s="495"/>
      <c r="E76" s="495"/>
      <c r="F76" s="495"/>
      <c r="G76" s="495"/>
      <c r="H76" s="105">
        <v>7</v>
      </c>
      <c r="I76" s="105" t="str">
        <f>VLOOKUP(B76,ИСХОДНИК!A:P,15,FALSE())</f>
        <v>U6 PL40R</v>
      </c>
      <c r="J76" s="139">
        <f>VLOOKUP(B76,ИСХОДНИК!A:P,13,FALSE())</f>
        <v>27000</v>
      </c>
      <c r="K76" s="139">
        <f>VLOOKUP(B76,ИСХОДНИК!A:P,14,FALSE())</f>
        <v>31319.999999999996</v>
      </c>
      <c r="L76" s="104" t="str">
        <f>IF(VLOOKUP(B76,ИСХОДНИК!A:R,18,FALSE())=1,ИСХОДНИК!$T$2,IF(VLOOKUP(B76,ИСХОДНИК!A:R,18,FALSE())=2,ИСХОДНИК!$T$5,IF(VLOOKUP(B76,ИСХОДНИК!A:R,18,FALSE())=3,ИСХОДНИК!$T$6)))</f>
        <v>◑</v>
      </c>
    </row>
    <row r="77" spans="2:13" ht="18" customHeight="1">
      <c r="B77" s="97" t="s">
        <v>207</v>
      </c>
      <c r="C77" s="495" t="str">
        <f>VLOOKUP(B77,ИСХОДНИК!A:P,3,FALSE())</f>
        <v>Универсальная прокладка DN 100. Мультипак 10 шт.</v>
      </c>
      <c r="D77" s="495"/>
      <c r="E77" s="495"/>
      <c r="F77" s="495"/>
      <c r="G77" s="495"/>
      <c r="H77" s="105">
        <v>7</v>
      </c>
      <c r="I77" s="105" t="str">
        <f>VLOOKUP(B77,ИСХОДНИК!A:P,15,FALSE())</f>
        <v>U6 PL40R</v>
      </c>
      <c r="J77" s="139">
        <f>VLOOKUP(B77,ИСХОДНИК!A:P,13,FALSE())</f>
        <v>36000</v>
      </c>
      <c r="K77" s="139">
        <f>VLOOKUP(B77,ИСХОДНИК!A:P,14,FALSE())</f>
        <v>41760</v>
      </c>
      <c r="L77" s="104" t="str">
        <f>IF(VLOOKUP(B77,ИСХОДНИК!A:R,18,FALSE())=1,ИСХОДНИК!$T$2,IF(VLOOKUP(B77,ИСХОДНИК!A:R,18,FALSE())=2,ИСХОДНИК!$T$5,IF(VLOOKUP(B77,ИСХОДНИК!A:R,18,FALSE())=3,ИСХОДНИК!$T$6)))</f>
        <v>◑</v>
      </c>
    </row>
    <row r="78" spans="2:13" ht="18" customHeight="1">
      <c r="B78" s="97" t="s">
        <v>208</v>
      </c>
      <c r="C78" s="495" t="str">
        <f>VLOOKUP(B78,ИСХОДНИК!A:P,3,FALSE())</f>
        <v>Универсальная прокладка DN 125. Мультипак 10 шт.</v>
      </c>
      <c r="D78" s="495"/>
      <c r="E78" s="495"/>
      <c r="F78" s="495"/>
      <c r="G78" s="495"/>
      <c r="H78" s="105">
        <v>7</v>
      </c>
      <c r="I78" s="105" t="str">
        <f>VLOOKUP(B78,ИСХОДНИК!A:P,15,FALSE())</f>
        <v>U6 PL40R</v>
      </c>
      <c r="J78" s="139">
        <f>VLOOKUP(B78,ИСХОДНИК!A:P,13,FALSE())</f>
        <v>63000</v>
      </c>
      <c r="K78" s="139">
        <f>VLOOKUP(B78,ИСХОДНИК!A:P,14,FALSE())</f>
        <v>73080</v>
      </c>
      <c r="L78" s="104" t="str">
        <f>IF(VLOOKUP(B78,ИСХОДНИК!A:R,18,FALSE())=1,ИСХОДНИК!$T$2,IF(VLOOKUP(B78,ИСХОДНИК!A:R,18,FALSE())=2,ИСХОДНИК!$T$5,IF(VLOOKUP(B78,ИСХОДНИК!A:R,18,FALSE())=3,ИСХОДНИК!$T$6)))</f>
        <v>◑</v>
      </c>
    </row>
    <row r="79" spans="2:13" ht="18" customHeight="1">
      <c r="B79" s="97" t="s">
        <v>209</v>
      </c>
      <c r="C79" s="495" t="str">
        <f>VLOOKUP(B79,ИСХОДНИК!A:P,3,FALSE())</f>
        <v>Универсальная прокладка DN 150. Мультипак 10 шт.</v>
      </c>
      <c r="D79" s="495"/>
      <c r="E79" s="495"/>
      <c r="F79" s="495"/>
      <c r="G79" s="495"/>
      <c r="H79" s="105">
        <v>7</v>
      </c>
      <c r="I79" s="105" t="str">
        <f>VLOOKUP(B79,ИСХОДНИК!A:P,15,FALSE())</f>
        <v>U6 PL40R</v>
      </c>
      <c r="J79" s="139">
        <f>VLOOKUP(B79,ИСХОДНИК!A:P,13,FALSE())</f>
        <v>95400</v>
      </c>
      <c r="K79" s="139">
        <f>VLOOKUP(B79,ИСХОДНИК!A:P,14,FALSE())</f>
        <v>110663.99999999999</v>
      </c>
      <c r="L79" s="104" t="str">
        <f>IF(VLOOKUP(B79,ИСХОДНИК!A:R,18,FALSE())=1,ИСХОДНИК!$T$2,IF(VLOOKUP(B79,ИСХОДНИК!A:R,18,FALSE())=2,ИСХОДНИК!$T$5,IF(VLOOKUP(B79,ИСХОДНИК!A:R,18,FALSE())=3,ИСХОДНИК!$T$6)))</f>
        <v>◑</v>
      </c>
    </row>
    <row r="80" spans="2:13" ht="18" customHeight="1">
      <c r="B80" s="97" t="s">
        <v>210</v>
      </c>
      <c r="C80" s="495" t="str">
        <f>VLOOKUP(B80,ИСХОДНИК!A:P,3,FALSE())</f>
        <v>Универсальная прокладка DN 200. Мультипак 10 шт.</v>
      </c>
      <c r="D80" s="495"/>
      <c r="E80" s="495"/>
      <c r="F80" s="495"/>
      <c r="G80" s="495"/>
      <c r="H80" s="105">
        <v>7</v>
      </c>
      <c r="I80" s="105" t="str">
        <f>VLOOKUP(B80,ИСХОДНИК!A:P,15,FALSE())</f>
        <v>U6 PL40R</v>
      </c>
      <c r="J80" s="139">
        <f>VLOOKUP(B80,ИСХОДНИК!A:P,13,FALSE())</f>
        <v>141000</v>
      </c>
      <c r="K80" s="139">
        <f>VLOOKUP(B80,ИСХОДНИК!A:P,14,FALSE())</f>
        <v>163560</v>
      </c>
      <c r="L80" s="104" t="str">
        <f>IF(VLOOKUP(B80,ИСХОДНИК!A:R,18,FALSE())=1,ИСХОДНИК!$T$2,IF(VLOOKUP(B80,ИСХОДНИК!A:R,18,FALSE())=2,ИСХОДНИК!$T$5,IF(VLOOKUP(B80,ИСХОДНИК!A:R,18,FALSE())=3,ИСХОДНИК!$T$6)))</f>
        <v>◑</v>
      </c>
    </row>
    <row r="81" spans="2:12" ht="18" customHeight="1">
      <c r="B81" s="97" t="s">
        <v>211</v>
      </c>
      <c r="C81" s="495" t="str">
        <f>VLOOKUP(B81,ИСХОДНИК!A:P,3,FALSE())</f>
        <v>Универсальная прокладка DN 250. Мультипак 10 шт.</v>
      </c>
      <c r="D81" s="495"/>
      <c r="E81" s="495"/>
      <c r="F81" s="495"/>
      <c r="G81" s="495"/>
      <c r="H81" s="105">
        <v>7</v>
      </c>
      <c r="I81" s="105" t="str">
        <f>VLOOKUP(B81,ИСХОДНИК!A:P,15,FALSE())</f>
        <v>U6 PL40R</v>
      </c>
      <c r="J81" s="139">
        <f>VLOOKUP(B81,ИСХОДНИК!A:P,13,FALSE())</f>
        <v>210000</v>
      </c>
      <c r="K81" s="139">
        <f>VLOOKUP(B81,ИСХОДНИК!A:P,14,FALSE())</f>
        <v>243599.99999999997</v>
      </c>
      <c r="L81" s="104" t="str">
        <f>IF(VLOOKUP(B81,ИСХОДНИК!A:R,18,FALSE())=1,ИСХОДНИК!$T$2,IF(VLOOKUP(B81,ИСХОДНИК!A:R,18,FALSE())=2,ИСХОДНИК!$T$5,IF(VLOOKUP(B81,ИСХОДНИК!A:R,18,FALSE())=3,ИСХОДНИК!$T$6)))</f>
        <v>◑</v>
      </c>
    </row>
    <row r="82" spans="2:12" ht="18" customHeight="1">
      <c r="B82" s="97" t="s">
        <v>212</v>
      </c>
      <c r="C82" s="495" t="str">
        <f>VLOOKUP(B82,ИСХОДНИК!A:P,3,FALSE())</f>
        <v>Универсальная прокладка DN 300. Мультипак 10 шт.</v>
      </c>
      <c r="D82" s="495"/>
      <c r="E82" s="495"/>
      <c r="F82" s="495"/>
      <c r="G82" s="495"/>
      <c r="H82" s="105">
        <v>7</v>
      </c>
      <c r="I82" s="105" t="str">
        <f>VLOOKUP(B82,ИСХОДНИК!A:P,15,FALSE())</f>
        <v>U6 PL40R</v>
      </c>
      <c r="J82" s="139">
        <f>VLOOKUP(B82,ИСХОДНИК!A:P,13,FALSE())</f>
        <v>282000</v>
      </c>
      <c r="K82" s="139">
        <f>VLOOKUP(B82,ИСХОДНИК!A:P,14,FALSE())</f>
        <v>327120</v>
      </c>
      <c r="L82" s="104" t="str">
        <f>IF(VLOOKUP(B82,ИСХОДНИК!A:R,18,FALSE())=1,ИСХОДНИК!$T$2,IF(VLOOKUP(B82,ИСХОДНИК!A:R,18,FALSE())=2,ИСХОДНИК!$T$5,IF(VLOOKUP(B82,ИСХОДНИК!A:R,18,FALSE())=3,ИСХОДНИК!$T$6)))</f>
        <v>◑</v>
      </c>
    </row>
    <row r="83" spans="2:12" ht="15" customHeight="1">
      <c r="B83" s="238"/>
      <c r="C83" s="240"/>
      <c r="D83" s="240"/>
      <c r="E83" s="240"/>
      <c r="F83" s="240"/>
      <c r="G83" s="240"/>
      <c r="H83" s="223"/>
      <c r="I83" s="223"/>
      <c r="J83" s="241"/>
      <c r="K83" s="241"/>
      <c r="L83" s="223"/>
    </row>
    <row r="84" spans="2:12" ht="18" customHeight="1">
      <c r="B84" s="97" t="s">
        <v>213</v>
      </c>
      <c r="C84" s="495" t="str">
        <f>VLOOKUP(B84,ИСХОДНИК!A:P,3,FALSE())</f>
        <v>Комплект сальникового уплотнения DN 15-25.  Мультипак: 10 комплектов.</v>
      </c>
      <c r="D84" s="495"/>
      <c r="E84" s="495"/>
      <c r="F84" s="495"/>
      <c r="G84" s="495"/>
      <c r="H84" s="200" t="s">
        <v>214</v>
      </c>
      <c r="I84" s="105" t="str">
        <f>VLOOKUP(B84,ИСХОДНИК!A:P,15,FALSE())</f>
        <v>U6 PL40R</v>
      </c>
      <c r="J84" s="139">
        <f>VLOOKUP(B84,ИСХОДНИК!A:P,13,FALSE())</f>
        <v>90000</v>
      </c>
      <c r="K84" s="139">
        <f>VLOOKUP(B84,ИСХОДНИК!A:P,14,FALSE())</f>
        <v>104400</v>
      </c>
      <c r="L84" s="104" t="str">
        <f>IF(VLOOKUP(B84,ИСХОДНИК!A:R,18,FALSE())=1,ИСХОДНИК!$T$2,IF(VLOOKUP(B84,ИСХОДНИК!A:R,18,FALSE())=2,ИСХОДНИК!$T$5,IF(VLOOKUP(B84,ИСХОДНИК!A:R,18,FALSE())=3,ИСХОДНИК!$T$6)))</f>
        <v>◑</v>
      </c>
    </row>
    <row r="85" spans="2:12" ht="18" customHeight="1">
      <c r="B85" s="97" t="s">
        <v>215</v>
      </c>
      <c r="C85" s="495" t="str">
        <f>VLOOKUP(B85,ИСХОДНИК!A:P,3,FALSE())</f>
        <v>Комплект сальникового уплотнения DN 32-50. Мультипак: 10 комплектов.</v>
      </c>
      <c r="D85" s="495"/>
      <c r="E85" s="495"/>
      <c r="F85" s="495"/>
      <c r="G85" s="495"/>
      <c r="H85" s="200" t="s">
        <v>214</v>
      </c>
      <c r="I85" s="105" t="str">
        <f>VLOOKUP(B85,ИСХОДНИК!A:P,15,FALSE())</f>
        <v>U6 PL40R</v>
      </c>
      <c r="J85" s="139">
        <f>VLOOKUP(B85,ИСХОДНИК!A:P,13,FALSE())</f>
        <v>153000</v>
      </c>
      <c r="K85" s="139">
        <f>VLOOKUP(B85,ИСХОДНИК!A:P,14,FALSE())</f>
        <v>177480</v>
      </c>
      <c r="L85" s="104" t="str">
        <f>IF(VLOOKUP(B85,ИСХОДНИК!A:R,18,FALSE())=1,ИСХОДНИК!$T$2,IF(VLOOKUP(B85,ИСХОДНИК!A:R,18,FALSE())=2,ИСХОДНИК!$T$5,IF(VLOOKUP(B85,ИСХОДНИК!A:R,18,FALSE())=3,ИСХОДНИК!$T$6)))</f>
        <v>◑</v>
      </c>
    </row>
    <row r="86" spans="2:12" ht="18" customHeight="1">
      <c r="B86" s="97" t="s">
        <v>216</v>
      </c>
      <c r="C86" s="495" t="str">
        <f>VLOOKUP(B86,ИСХОДНИК!A:P,3,FALSE())</f>
        <v>Комплект сальникового уплотнения DN 65. Мультипак: 10 комплектов.</v>
      </c>
      <c r="D86" s="495"/>
      <c r="E86" s="495"/>
      <c r="F86" s="495"/>
      <c r="G86" s="495"/>
      <c r="H86" s="200" t="s">
        <v>214</v>
      </c>
      <c r="I86" s="105" t="str">
        <f>VLOOKUP(B86,ИСХОДНИК!A:P,15,FALSE())</f>
        <v>U6 PL40R</v>
      </c>
      <c r="J86" s="139">
        <f>VLOOKUP(B86,ИСХОДНИК!A:P,13,FALSE())</f>
        <v>299400</v>
      </c>
      <c r="K86" s="139">
        <f>VLOOKUP(B86,ИСХОДНИК!A:P,14,FALSE())</f>
        <v>347304</v>
      </c>
      <c r="L86" s="104" t="str">
        <f>IF(VLOOKUP(B86,ИСХОДНИК!A:R,18,FALSE())=1,ИСХОДНИК!$T$2,IF(VLOOKUP(B86,ИСХОДНИК!A:R,18,FALSE())=2,ИСХОДНИК!$T$5,IF(VLOOKUP(B86,ИСХОДНИК!A:R,18,FALSE())=3,ИСХОДНИК!$T$6)))</f>
        <v>◑</v>
      </c>
    </row>
    <row r="87" spans="2:12" ht="18" customHeight="1">
      <c r="B87" s="97" t="s">
        <v>217</v>
      </c>
      <c r="C87" s="495" t="str">
        <f>VLOOKUP(B87,ИСХОДНИК!A:P,3,FALSE())</f>
        <v>Комплект сальникового уплотнения DN 80.  Мультипак: 10 комплектов.</v>
      </c>
      <c r="D87" s="495"/>
      <c r="E87" s="495"/>
      <c r="F87" s="495"/>
      <c r="G87" s="495"/>
      <c r="H87" s="200" t="s">
        <v>214</v>
      </c>
      <c r="I87" s="105" t="str">
        <f>VLOOKUP(B87,ИСХОДНИК!A:P,15,FALSE())</f>
        <v>U6 PL40R</v>
      </c>
      <c r="J87" s="139">
        <f>VLOOKUP(B87,ИСХОДНИК!A:P,13,FALSE())</f>
        <v>348000</v>
      </c>
      <c r="K87" s="139">
        <f>VLOOKUP(B87,ИСХОДНИК!A:P,14,FALSE())</f>
        <v>403680</v>
      </c>
      <c r="L87" s="104" t="str">
        <f>IF(VLOOKUP(B87,ИСХОДНИК!A:R,18,FALSE())=1,ИСХОДНИК!$T$2,IF(VLOOKUP(B87,ИСХОДНИК!A:R,18,FALSE())=2,ИСХОДНИК!$T$5,IF(VLOOKUP(B87,ИСХОДНИК!A:R,18,FALSE())=3,ИСХОДНИК!$T$6)))</f>
        <v>◑</v>
      </c>
    </row>
    <row r="88" spans="2:12" ht="18" customHeight="1">
      <c r="B88" s="97" t="s">
        <v>218</v>
      </c>
      <c r="C88" s="495" t="str">
        <f>VLOOKUP(B88,ИСХОДНИК!A:P,3,FALSE())</f>
        <v>Комплект сальникового уплотнения DN 100-150.Мультипак: 5 комплектов.</v>
      </c>
      <c r="D88" s="495"/>
      <c r="E88" s="495"/>
      <c r="F88" s="495"/>
      <c r="G88" s="495"/>
      <c r="H88" s="200" t="s">
        <v>214</v>
      </c>
      <c r="I88" s="105" t="str">
        <f>VLOOKUP(B88,ИСХОДНИК!A:P,15,FALSE())</f>
        <v>U6 PL40R</v>
      </c>
      <c r="J88" s="139">
        <f>VLOOKUP(B88,ИСХОДНИК!A:P,13,FALSE())</f>
        <v>288000</v>
      </c>
      <c r="K88" s="139">
        <f>VLOOKUP(B88,ИСХОДНИК!A:P,14,FALSE())</f>
        <v>334080</v>
      </c>
      <c r="L88" s="104" t="str">
        <f>IF(VLOOKUP(B88,ИСХОДНИК!A:R,18,FALSE())=1,ИСХОДНИК!$T$2,IF(VLOOKUP(B88,ИСХОДНИК!A:R,18,FALSE())=2,ИСХОДНИК!$T$5,IF(VLOOKUP(B88,ИСХОДНИК!A:R,18,FALSE())=3,ИСХОДНИК!$T$6)))</f>
        <v>◑</v>
      </c>
    </row>
    <row r="89" spans="2:12" ht="18" customHeight="1">
      <c r="B89" s="97" t="s">
        <v>219</v>
      </c>
      <c r="C89" s="495" t="str">
        <f>VLOOKUP(B89,ИСХОДНИК!A:P,3,FALSE())</f>
        <v xml:space="preserve">Комплект сальникового уплотнения DN 200. </v>
      </c>
      <c r="D89" s="495"/>
      <c r="E89" s="495"/>
      <c r="F89" s="495"/>
      <c r="G89" s="495"/>
      <c r="H89" s="200" t="s">
        <v>214</v>
      </c>
      <c r="I89" s="105" t="str">
        <f>VLOOKUP(B89,ИСХОДНИК!A:P,15,FALSE())</f>
        <v>U6 PL40R</v>
      </c>
      <c r="J89" s="139">
        <f>VLOOKUP(B89,ИСХОДНИК!A:P,13,FALSE())</f>
        <v>210000</v>
      </c>
      <c r="K89" s="139">
        <f>VLOOKUP(B89,ИСХОДНИК!A:P,14,FALSE())</f>
        <v>243599.99999999997</v>
      </c>
      <c r="L89" s="104" t="str">
        <f>IF(VLOOKUP(B89,ИСХОДНИК!A:R,18,FALSE())=1,ИСХОДНИК!$T$2,IF(VLOOKUP(B89,ИСХОДНИК!A:R,18,FALSE())=2,ИСХОДНИК!$T$5,IF(VLOOKUP(B89,ИСХОДНИК!A:R,18,FALSE())=3,ИСХОДНИК!$T$6)))</f>
        <v>◑</v>
      </c>
    </row>
    <row r="90" spans="2:12" ht="15" customHeight="1">
      <c r="B90" s="238"/>
      <c r="C90" s="240"/>
      <c r="D90" s="240"/>
      <c r="E90" s="240"/>
      <c r="F90" s="240"/>
      <c r="G90" s="240"/>
      <c r="H90" s="251"/>
      <c r="I90" s="223"/>
      <c r="J90" s="241"/>
      <c r="K90" s="241"/>
      <c r="L90" s="223"/>
    </row>
    <row r="91" spans="2:12" ht="18" customHeight="1">
      <c r="B91" s="97" t="s">
        <v>233</v>
      </c>
      <c r="C91" s="495" t="str">
        <f>VLOOKUP(B91,ИСХОДНИК!A:P,3,FALSE())</f>
        <v>Колпачок с прокладкой для SVA, SCA, REG (DN 15-25).</v>
      </c>
      <c r="D91" s="495"/>
      <c r="E91" s="495"/>
      <c r="F91" s="495"/>
      <c r="G91" s="495"/>
      <c r="H91" s="200">
        <v>14</v>
      </c>
      <c r="I91" s="105" t="str">
        <f>VLOOKUP(B91,ИСХОДНИК!A:P,15,FALSE())</f>
        <v>U6 PL40R</v>
      </c>
      <c r="J91" s="139">
        <f>VLOOKUP(B91,ИСХОДНИК!A:P,13,FALSE())</f>
        <v>6600</v>
      </c>
      <c r="K91" s="139">
        <f>VLOOKUP(B91,ИСХОДНИК!A:P,14,FALSE())</f>
        <v>7655.9999999999991</v>
      </c>
      <c r="L91" s="104" t="str">
        <f>IF(VLOOKUP(B91,ИСХОДНИК!A:R,18,FALSE())=1,ИСХОДНИК!$T$2,IF(VLOOKUP(B91,ИСХОДНИК!A:R,18,FALSE())=2,ИСХОДНИК!$T$5,IF(VLOOKUP(B91,ИСХОДНИК!A:R,18,FALSE())=3,ИСХОДНИК!$T$6)))</f>
        <v>◑</v>
      </c>
    </row>
    <row r="92" spans="2:12" ht="18" customHeight="1">
      <c r="B92" s="97" t="s">
        <v>234</v>
      </c>
      <c r="C92" s="495" t="str">
        <f>VLOOKUP(B92,ИСХОДНИК!A:P,3,FALSE())</f>
        <v xml:space="preserve">Колпачок с прокладкой для SVA, SCA, REG (DN 32-50). </v>
      </c>
      <c r="D92" s="495"/>
      <c r="E92" s="495"/>
      <c r="F92" s="495"/>
      <c r="G92" s="495"/>
      <c r="H92" s="200">
        <v>14</v>
      </c>
      <c r="I92" s="105" t="str">
        <f>VLOOKUP(B92,ИСХОДНИК!A:P,15,FALSE())</f>
        <v>U6 PL40R</v>
      </c>
      <c r="J92" s="139">
        <f>VLOOKUP(B92,ИСХОДНИК!A:P,13,FALSE())</f>
        <v>11400</v>
      </c>
      <c r="K92" s="139">
        <f>VLOOKUP(B92,ИСХОДНИК!A:P,14,FALSE())</f>
        <v>13223.999999999998</v>
      </c>
      <c r="L92" s="104" t="str">
        <f>IF(VLOOKUP(B92,ИСХОДНИК!A:R,18,FALSE())=1,ИСХОДНИК!$T$2,IF(VLOOKUP(B92,ИСХОДНИК!A:R,18,FALSE())=2,ИСХОДНИК!$T$5,IF(VLOOKUP(B92,ИСХОДНИК!A:R,18,FALSE())=3,ИСХОДНИК!$T$6)))</f>
        <v>◑</v>
      </c>
    </row>
    <row r="93" spans="2:12" ht="18" customHeight="1">
      <c r="B93" s="97" t="s">
        <v>235</v>
      </c>
      <c r="C93" s="495" t="str">
        <f>VLOOKUP(B93,ИСХОДНИК!A:P,3,FALSE())</f>
        <v>Колпачок с прокладкой для SVA, SCA, REG (DN 65)</v>
      </c>
      <c r="D93" s="495"/>
      <c r="E93" s="495"/>
      <c r="F93" s="495"/>
      <c r="G93" s="495"/>
      <c r="H93" s="200">
        <v>14</v>
      </c>
      <c r="I93" s="105" t="str">
        <f>VLOOKUP(B93,ИСХОДНИК!A:P,15,FALSE())</f>
        <v>U6 PL40R</v>
      </c>
      <c r="J93" s="139">
        <f>VLOOKUP(B93,ИСХОДНИК!A:P,13,FALSE())</f>
        <v>12600</v>
      </c>
      <c r="K93" s="139">
        <f>VLOOKUP(B93,ИСХОДНИК!A:P,14,FALSE())</f>
        <v>14615.999999999998</v>
      </c>
      <c r="L93" s="104" t="str">
        <f>IF(VLOOKUP(B93,ИСХОДНИК!A:R,18,FALSE())=1,ИСХОДНИК!$T$2,IF(VLOOKUP(B93,ИСХОДНИК!A:R,18,FALSE())=2,ИСХОДНИК!$T$5,IF(VLOOKUP(B93,ИСХОДНИК!A:R,18,FALSE())=3,ИСХОДНИК!$T$6)))</f>
        <v>◑</v>
      </c>
    </row>
    <row r="94" spans="2:12" ht="18" customHeight="1">
      <c r="B94" s="97" t="s">
        <v>236</v>
      </c>
      <c r="C94" s="495" t="str">
        <f>VLOOKUP(B94,ИСХОДНИК!A:P,3,FALSE())</f>
        <v>Колпачок с прокладкой для SVA, SCA (DN 80-100)</v>
      </c>
      <c r="D94" s="495"/>
      <c r="E94" s="495"/>
      <c r="F94" s="495"/>
      <c r="G94" s="495"/>
      <c r="H94" s="200">
        <v>14</v>
      </c>
      <c r="I94" s="105" t="str">
        <f>VLOOKUP(B94,ИСХОДНИК!A:P,15,FALSE())</f>
        <v>U6 PL40R</v>
      </c>
      <c r="J94" s="139">
        <f>VLOOKUP(B94,ИСХОДНИК!A:P,13,FALSE())</f>
        <v>19800</v>
      </c>
      <c r="K94" s="139">
        <f>VLOOKUP(B94,ИСХОДНИК!A:P,14,FALSE())</f>
        <v>22968</v>
      </c>
      <c r="L94" s="104" t="str">
        <f>IF(VLOOKUP(B94,ИСХОДНИК!A:R,18,FALSE())=1,ИСХОДНИК!$T$2,IF(VLOOKUP(B94,ИСХОДНИК!A:R,18,FALSE())=2,ИСХОДНИК!$T$5,IF(VLOOKUP(B94,ИСХОДНИК!A:R,18,FALSE())=3,ИСХОДНИК!$T$6)))</f>
        <v>◑</v>
      </c>
    </row>
    <row r="95" spans="2:12" ht="18" customHeight="1">
      <c r="B95" s="97" t="s">
        <v>237</v>
      </c>
      <c r="C95" s="495" t="str">
        <f>VLOOKUP(B95,ИСХОДНИК!A:P,3,FALSE())</f>
        <v>Колпачок с прокладкой для SVA, SCA (DN 125-150)</v>
      </c>
      <c r="D95" s="495"/>
      <c r="E95" s="495"/>
      <c r="F95" s="495"/>
      <c r="G95" s="495"/>
      <c r="H95" s="200">
        <v>14</v>
      </c>
      <c r="I95" s="105" t="str">
        <f>VLOOKUP(B95,ИСХОДНИК!A:P,15,FALSE())</f>
        <v>U6 PL40R</v>
      </c>
      <c r="J95" s="139">
        <f>VLOOKUP(B95,ИСХОДНИК!A:P,13,FALSE())</f>
        <v>29400</v>
      </c>
      <c r="K95" s="139">
        <f>VLOOKUP(B95,ИСХОДНИК!A:P,14,FALSE())</f>
        <v>34104</v>
      </c>
      <c r="L95" s="104" t="str">
        <f>IF(VLOOKUP(B95,ИСХОДНИК!A:R,18,FALSE())=1,ИСХОДНИК!$T$2,IF(VLOOKUP(B95,ИСХОДНИК!A:R,18,FALSE())=2,ИСХОДНИК!$T$5,IF(VLOOKUP(B95,ИСХОДНИК!A:R,18,FALSE())=3,ИСХОДНИК!$T$6)))</f>
        <v>◑</v>
      </c>
    </row>
    <row r="96" spans="2:12" ht="15" customHeight="1">
      <c r="B96" s="238"/>
      <c r="C96" s="240"/>
      <c r="D96" s="240"/>
      <c r="E96" s="240"/>
      <c r="F96" s="240"/>
      <c r="G96" s="240"/>
      <c r="H96" s="251"/>
      <c r="I96" s="223"/>
      <c r="J96" s="241"/>
      <c r="K96" s="241"/>
      <c r="L96" s="223"/>
    </row>
    <row r="97" spans="2:12" ht="18" customHeight="1">
      <c r="B97" s="97" t="s">
        <v>239</v>
      </c>
      <c r="C97" s="495" t="str">
        <f>VLOOKUP(B97,ИСХОДНИК!A:P,3,FALSE())</f>
        <v>Маховик (60 мм) для клапанов SVA, REG, SCA DN 15-25</v>
      </c>
      <c r="D97" s="495"/>
      <c r="E97" s="495"/>
      <c r="F97" s="495"/>
      <c r="G97" s="495"/>
      <c r="H97" s="200">
        <v>15</v>
      </c>
      <c r="I97" s="105" t="str">
        <f>VLOOKUP(B97,ИСХОДНИК!A:P,15,FALSE())</f>
        <v>U6 PL40R</v>
      </c>
      <c r="J97" s="139">
        <f>VLOOKUP(B97,ИСХОДНИК!A:P,13,FALSE())</f>
        <v>17400</v>
      </c>
      <c r="K97" s="139">
        <f>VLOOKUP(B97,ИСХОДНИК!A:P,14,FALSE())</f>
        <v>20184</v>
      </c>
      <c r="L97" s="140" t="str">
        <f>IF(VLOOKUP(B97,ИСХОДНИК!A:R,18,FALSE())=1,ИСХОДНИК!$T$2,IF(VLOOKUP(B97,ИСХОДНИК!A:R,18,FALSE())=2,ИСХОДНИК!$T$5,IF(VLOOKUP(B97,ИСХОДНИК!A:R,18,FALSE())=3,ИСХОДНИК!$T$6)))</f>
        <v>○</v>
      </c>
    </row>
    <row r="98" spans="2:12" ht="18" customHeight="1">
      <c r="B98" s="97" t="s">
        <v>240</v>
      </c>
      <c r="C98" s="495" t="str">
        <f>VLOOKUP(B98,ИСХОДНИК!A:P,3,FALSE())</f>
        <v>Маховик (80 мм) для клапанов SVA, REG, SCA DN 32-40</v>
      </c>
      <c r="D98" s="495"/>
      <c r="E98" s="495"/>
      <c r="F98" s="495"/>
      <c r="G98" s="495"/>
      <c r="H98" s="200">
        <v>15</v>
      </c>
      <c r="I98" s="105" t="str">
        <f>VLOOKUP(B98,ИСХОДНИК!A:P,15,FALSE())</f>
        <v>U6 PL40R</v>
      </c>
      <c r="J98" s="139">
        <f>VLOOKUP(B98,ИСХОДНИК!A:P,13,FALSE())</f>
        <v>23400</v>
      </c>
      <c r="K98" s="139">
        <f>VLOOKUP(B98,ИСХОДНИК!A:P,14,FALSE())</f>
        <v>27143.999999999996</v>
      </c>
      <c r="L98" s="140" t="str">
        <f>IF(VLOOKUP(B98,ИСХОДНИК!A:R,18,FALSE())=1,ИСХОДНИК!$T$2,IF(VLOOKUP(B98,ИСХОДНИК!A:R,18,FALSE())=2,ИСХОДНИК!$T$5,IF(VLOOKUP(B98,ИСХОДНИК!A:R,18,FALSE())=3,ИСХОДНИК!$T$6)))</f>
        <v>○</v>
      </c>
    </row>
    <row r="99" spans="2:12" ht="18" customHeight="1">
      <c r="B99" s="97" t="s">
        <v>241</v>
      </c>
      <c r="C99" s="495" t="str">
        <f>VLOOKUP(B99,ИСХОДНИК!A:P,3,FALSE())</f>
        <v>Маховик (100 мм) для клапанов SVA, REG, SCA DN 50</v>
      </c>
      <c r="D99" s="495"/>
      <c r="E99" s="495"/>
      <c r="F99" s="495"/>
      <c r="G99" s="495"/>
      <c r="H99" s="200">
        <v>15</v>
      </c>
      <c r="I99" s="105" t="str">
        <f>VLOOKUP(B99,ИСХОДНИК!A:P,15,FALSE())</f>
        <v>U6 PL40R</v>
      </c>
      <c r="J99" s="139">
        <f>VLOOKUP(B99,ИСХОДНИК!A:P,13,FALSE())</f>
        <v>29400</v>
      </c>
      <c r="K99" s="139">
        <f>VLOOKUP(B99,ИСХОДНИК!A:P,14,FALSE())</f>
        <v>34104</v>
      </c>
      <c r="L99" s="140" t="str">
        <f>IF(VLOOKUP(B99,ИСХОДНИК!A:R,18,FALSE())=1,ИСХОДНИК!$T$2,IF(VLOOKUP(B99,ИСХОДНИК!A:R,18,FALSE())=2,ИСХОДНИК!$T$5,IF(VLOOKUP(B99,ИСХОДНИК!A:R,18,FALSE())=3,ИСХОДНИК!$T$6)))</f>
        <v>○</v>
      </c>
    </row>
    <row r="100" spans="2:12" ht="18" customHeight="1">
      <c r="B100" s="97" t="s">
        <v>242</v>
      </c>
      <c r="C100" s="495" t="str">
        <f>VLOOKUP(B100,ИСХОДНИК!A:P,3,FALSE())</f>
        <v>Маховик (120 мм) для клапанов SVA, REG, SCA DN 65</v>
      </c>
      <c r="D100" s="495"/>
      <c r="E100" s="495"/>
      <c r="F100" s="495"/>
      <c r="G100" s="495"/>
      <c r="H100" s="200">
        <v>15</v>
      </c>
      <c r="I100" s="105" t="str">
        <f>VLOOKUP(B100,ИСХОДНИК!A:P,15,FALSE())</f>
        <v>U6 PL40R</v>
      </c>
      <c r="J100" s="139">
        <f>VLOOKUP(B100,ИСХОДНИК!A:P,13,FALSE())</f>
        <v>35400</v>
      </c>
      <c r="K100" s="139">
        <f>VLOOKUP(B100,ИСХОДНИК!A:P,14,FALSE())</f>
        <v>41064</v>
      </c>
      <c r="L100" s="140" t="str">
        <f>IF(VLOOKUP(B100,ИСХОДНИК!A:R,18,FALSE())=1,ИСХОДНИК!$T$2,IF(VLOOKUP(B100,ИСХОДНИК!A:R,18,FALSE())=2,ИСХОДНИК!$T$5,IF(VLOOKUP(B100,ИСХОДНИК!A:R,18,FALSE())=3,ИСХОДНИК!$T$6)))</f>
        <v>○</v>
      </c>
    </row>
    <row r="101" spans="2:12" ht="18" customHeight="1">
      <c r="B101" s="97" t="s">
        <v>243</v>
      </c>
      <c r="C101" s="495" t="str">
        <f>VLOOKUP(B101,ИСХОДНИК!A:P,3,FALSE())</f>
        <v>Маховик (160 мм) для клапанов SVA, SCA DN 80</v>
      </c>
      <c r="D101" s="495"/>
      <c r="E101" s="495"/>
      <c r="F101" s="495"/>
      <c r="G101" s="495"/>
      <c r="H101" s="200">
        <v>15</v>
      </c>
      <c r="I101" s="105" t="str">
        <f>VLOOKUP(B101,ИСХОДНИК!A:P,15,FALSE())</f>
        <v>U6 PL40R</v>
      </c>
      <c r="J101" s="139">
        <f>VLOOKUP(B101,ИСХОДНИК!A:P,13,FALSE())</f>
        <v>45000</v>
      </c>
      <c r="K101" s="139">
        <f>VLOOKUP(B101,ИСХОДНИК!A:P,14,FALSE())</f>
        <v>52200</v>
      </c>
      <c r="L101" s="140" t="str">
        <f>IF(VLOOKUP(B101,ИСХОДНИК!A:R,18,FALSE())=1,ИСХОДНИК!$T$2,IF(VLOOKUP(B101,ИСХОДНИК!A:R,18,FALSE())=2,ИСХОДНИК!$T$5,IF(VLOOKUP(B101,ИСХОДНИК!A:R,18,FALSE())=3,ИСХОДНИК!$T$6)))</f>
        <v>○</v>
      </c>
    </row>
    <row r="102" spans="2:12" ht="18" customHeight="1">
      <c r="B102" s="97" t="s">
        <v>244</v>
      </c>
      <c r="C102" s="495" t="str">
        <f>VLOOKUP(B102,ИСХОДНИК!A:P,3,FALSE())</f>
        <v>Маховик (180 мм) для клапанов SVA, SCA DN 100</v>
      </c>
      <c r="D102" s="495"/>
      <c r="E102" s="495"/>
      <c r="F102" s="495"/>
      <c r="G102" s="495"/>
      <c r="H102" s="200">
        <v>15</v>
      </c>
      <c r="I102" s="105" t="str">
        <f>VLOOKUP(B102,ИСХОДНИК!A:P,15,FALSE())</f>
        <v>U6 PL40R</v>
      </c>
      <c r="J102" s="139">
        <f>VLOOKUP(B102,ИСХОДНИК!A:P,13,FALSE())</f>
        <v>51000</v>
      </c>
      <c r="K102" s="139">
        <f>VLOOKUP(B102,ИСХОДНИК!A:P,14,FALSE())</f>
        <v>59159.999999999993</v>
      </c>
      <c r="L102" s="140" t="str">
        <f>IF(VLOOKUP(B102,ИСХОДНИК!A:R,18,FALSE())=1,ИСХОДНИК!$T$2,IF(VLOOKUP(B102,ИСХОДНИК!A:R,18,FALSE())=2,ИСХОДНИК!$T$5,IF(VLOOKUP(B102,ИСХОДНИК!A:R,18,FALSE())=3,ИСХОДНИК!$T$6)))</f>
        <v>○</v>
      </c>
    </row>
    <row r="103" spans="2:12" ht="18" customHeight="1">
      <c r="B103" s="97" t="s">
        <v>245</v>
      </c>
      <c r="C103" s="495" t="str">
        <f>VLOOKUP(B103,ИСХОДНИК!A:P,3,FALSE())</f>
        <v>Маховик (200 мм) для клапанов SVA, SCA DN 125</v>
      </c>
      <c r="D103" s="495"/>
      <c r="E103" s="495"/>
      <c r="F103" s="495"/>
      <c r="G103" s="495"/>
      <c r="H103" s="200">
        <v>15</v>
      </c>
      <c r="I103" s="105" t="str">
        <f>VLOOKUP(B103,ИСХОДНИК!A:P,15,FALSE())</f>
        <v>U6 PL40R</v>
      </c>
      <c r="J103" s="139">
        <f>VLOOKUP(B103,ИСХОДНИК!A:P,13,FALSE())</f>
        <v>57000</v>
      </c>
      <c r="K103" s="139">
        <f>VLOOKUP(B103,ИСХОДНИК!A:P,14,FALSE())</f>
        <v>66120</v>
      </c>
      <c r="L103" s="140" t="str">
        <f>IF(VLOOKUP(B103,ИСХОДНИК!A:R,18,FALSE())=1,ИСХОДНИК!$T$2,IF(VLOOKUP(B103,ИСХОДНИК!A:R,18,FALSE())=2,ИСХОДНИК!$T$5,IF(VLOOKUP(B103,ИСХОДНИК!A:R,18,FALSE())=3,ИСХОДНИК!$T$6)))</f>
        <v>○</v>
      </c>
    </row>
    <row r="104" spans="2:12" ht="18" customHeight="1">
      <c r="B104" s="97" t="s">
        <v>246</v>
      </c>
      <c r="C104" s="495" t="str">
        <f>VLOOKUP(B104,ИСХОДНИК!A:P,3,FALSE())</f>
        <v>Маховик (250 мм) для клапанов SVA SCA DN 150</v>
      </c>
      <c r="D104" s="495"/>
      <c r="E104" s="495"/>
      <c r="F104" s="495"/>
      <c r="G104" s="495"/>
      <c r="H104" s="200">
        <v>15</v>
      </c>
      <c r="I104" s="105" t="str">
        <f>VLOOKUP(B104,ИСХОДНИК!A:P,15,FALSE())</f>
        <v>U6 PL40R</v>
      </c>
      <c r="J104" s="139">
        <f>VLOOKUP(B104,ИСХОДНИК!A:P,13,FALSE())</f>
        <v>72000</v>
      </c>
      <c r="K104" s="139">
        <f>VLOOKUP(B104,ИСХОДНИК!A:P,14,FALSE())</f>
        <v>83520</v>
      </c>
      <c r="L104" s="140" t="str">
        <f>IF(VLOOKUP(B104,ИСХОДНИК!A:R,18,FALSE())=1,ИСХОДНИК!$T$2,IF(VLOOKUP(B104,ИСХОДНИК!A:R,18,FALSE())=2,ИСХОДНИК!$T$5,IF(VLOOKUP(B104,ИСХОДНИК!A:R,18,FALSE())=3,ИСХОДНИК!$T$6)))</f>
        <v>○</v>
      </c>
    </row>
  </sheetData>
  <autoFilter ref="B11:L11" xr:uid="{00000000-0009-0000-0000-000007000000}"/>
  <mergeCells count="41">
    <mergeCell ref="C102:G102"/>
    <mergeCell ref="C103:G103"/>
    <mergeCell ref="C104:G104"/>
    <mergeCell ref="C97:G97"/>
    <mergeCell ref="C98:G98"/>
    <mergeCell ref="C99:G99"/>
    <mergeCell ref="C100:G100"/>
    <mergeCell ref="C101:G101"/>
    <mergeCell ref="C91:G91"/>
    <mergeCell ref="C92:G92"/>
    <mergeCell ref="C93:G93"/>
    <mergeCell ref="C94:G94"/>
    <mergeCell ref="C95:G95"/>
    <mergeCell ref="C85:G85"/>
    <mergeCell ref="C86:G86"/>
    <mergeCell ref="C87:G87"/>
    <mergeCell ref="C88:G88"/>
    <mergeCell ref="C89:G89"/>
    <mergeCell ref="C79:G79"/>
    <mergeCell ref="C80:G80"/>
    <mergeCell ref="C81:G81"/>
    <mergeCell ref="C82:G82"/>
    <mergeCell ref="C84:G84"/>
    <mergeCell ref="C74:G74"/>
    <mergeCell ref="C75:G75"/>
    <mergeCell ref="C76:G76"/>
    <mergeCell ref="C77:G77"/>
    <mergeCell ref="C78:G78"/>
    <mergeCell ref="B32:L32"/>
    <mergeCell ref="B55:M55"/>
    <mergeCell ref="C71:G71"/>
    <mergeCell ref="C72:G72"/>
    <mergeCell ref="C73:G73"/>
    <mergeCell ref="N2:S2"/>
    <mergeCell ref="B3:G3"/>
    <mergeCell ref="P3:Q9"/>
    <mergeCell ref="I10:L10"/>
    <mergeCell ref="N10:N11"/>
    <mergeCell ref="O10:O11"/>
    <mergeCell ref="P10:Q10"/>
    <mergeCell ref="R10:S10"/>
  </mergeCells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3"/>
  <sheetViews>
    <sheetView showGridLines="0" topLeftCell="A41" zoomScaleNormal="100" workbookViewId="0">
      <selection activeCell="W72" sqref="W72"/>
    </sheetView>
  </sheetViews>
  <sheetFormatPr defaultColWidth="9.1796875" defaultRowHeight="12" customHeight="1"/>
  <cols>
    <col min="1" max="1" width="2" style="107" customWidth="1"/>
    <col min="2" max="2" width="15.81640625" style="108" customWidth="1"/>
    <col min="3" max="3" width="21.7265625" style="107" customWidth="1"/>
    <col min="4" max="4" width="13.7265625" style="107" customWidth="1"/>
    <col min="5" max="5" width="25.1796875" style="107" customWidth="1"/>
    <col min="6" max="6" width="9.1796875" style="107"/>
    <col min="7" max="7" width="22.1796875" style="107" customWidth="1"/>
    <col min="8" max="8" width="9.453125" style="107" customWidth="1"/>
    <col min="9" max="9" width="17.453125" style="107" customWidth="1"/>
    <col min="10" max="10" width="8.54296875" style="107" hidden="1" customWidth="1"/>
    <col min="11" max="11" width="9" style="107" hidden="1" customWidth="1"/>
    <col min="12" max="12" width="9.1796875" style="107" hidden="1"/>
    <col min="13" max="13" width="8" style="107" hidden="1" customWidth="1"/>
    <col min="14" max="14" width="14.81640625" style="107" customWidth="1"/>
    <col min="15" max="15" width="16" style="107" customWidth="1"/>
    <col min="16" max="16" width="10.453125" style="107" customWidth="1"/>
    <col min="17" max="17" width="11.1796875" style="107" customWidth="1"/>
    <col min="18" max="18" width="6.1796875" style="108" customWidth="1"/>
    <col min="19" max="19" width="3" style="107" customWidth="1"/>
    <col min="20" max="20" width="14.81640625" style="107" customWidth="1"/>
    <col min="21" max="21" width="16.54296875" style="252" customWidth="1"/>
    <col min="22" max="22" width="16.453125" style="253" customWidth="1"/>
    <col min="23" max="23" width="12.1796875" style="107" customWidth="1"/>
    <col min="24" max="24" width="11.453125" style="107" customWidth="1"/>
    <col min="25" max="25" width="9.1796875" style="107"/>
    <col min="26" max="26" width="5.81640625" style="107" customWidth="1"/>
    <col min="27" max="27" width="5" style="107" customWidth="1"/>
    <col min="28" max="29" width="9.1796875" style="107"/>
    <col min="30" max="30" width="11.7265625" style="107" customWidth="1"/>
    <col min="31" max="31" width="11.453125" style="107" customWidth="1"/>
    <col min="32" max="32" width="13.7265625" style="107" customWidth="1"/>
    <col min="33" max="33" width="10.81640625" style="107" customWidth="1"/>
    <col min="34" max="16384" width="9.1796875" style="107"/>
  </cols>
  <sheetData>
    <row r="1" spans="1:33" ht="10.5" customHeight="1"/>
    <row r="2" spans="1:33" ht="41.25" customHeight="1">
      <c r="B2" s="213" t="s">
        <v>366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54"/>
      <c r="S2" s="255"/>
      <c r="T2" s="520" t="s">
        <v>367</v>
      </c>
      <c r="U2" s="520"/>
      <c r="V2" s="520"/>
      <c r="W2" s="520"/>
      <c r="X2" s="520"/>
      <c r="Y2" s="520"/>
      <c r="Z2" s="520"/>
      <c r="AB2" s="497" t="s">
        <v>144</v>
      </c>
      <c r="AC2" s="497"/>
      <c r="AD2" s="497"/>
      <c r="AE2" s="497"/>
      <c r="AF2" s="497"/>
      <c r="AG2" s="497"/>
    </row>
    <row r="3" spans="1:33" ht="60" customHeight="1">
      <c r="B3" s="521" t="s">
        <v>368</v>
      </c>
      <c r="C3" s="521"/>
      <c r="D3" s="521"/>
      <c r="E3" s="521"/>
      <c r="F3" s="521"/>
      <c r="G3" s="521"/>
      <c r="H3" s="521"/>
      <c r="I3" s="219"/>
      <c r="J3" s="113"/>
      <c r="K3" s="113"/>
      <c r="L3" s="113"/>
      <c r="M3" s="113"/>
      <c r="N3" s="113"/>
      <c r="O3" s="113"/>
      <c r="P3" s="113"/>
      <c r="Q3" s="113"/>
      <c r="R3" s="256"/>
      <c r="S3" s="255"/>
      <c r="T3" s="257"/>
      <c r="U3" s="258"/>
      <c r="V3" s="259"/>
      <c r="W3" s="69"/>
      <c r="X3" s="69"/>
      <c r="Y3" s="69"/>
      <c r="Z3" s="70"/>
      <c r="AB3" s="159"/>
      <c r="AC3" s="160"/>
      <c r="AD3" s="498"/>
      <c r="AE3" s="498"/>
      <c r="AF3" s="161"/>
      <c r="AG3" s="162"/>
    </row>
    <row r="4" spans="1:33" ht="10.5" customHeight="1">
      <c r="B4" s="76" t="s">
        <v>58</v>
      </c>
      <c r="C4" s="115" t="s">
        <v>59</v>
      </c>
      <c r="D4" s="163"/>
      <c r="E4" s="164"/>
      <c r="F4" s="116"/>
      <c r="G4" s="116"/>
      <c r="H4" s="117"/>
      <c r="I4" s="219"/>
      <c r="J4" s="113"/>
      <c r="K4" s="113"/>
      <c r="L4" s="113"/>
      <c r="M4" s="113"/>
      <c r="N4" s="113"/>
      <c r="O4" s="113"/>
      <c r="P4" s="113"/>
      <c r="Q4" s="113"/>
      <c r="R4" s="256"/>
      <c r="S4" s="255"/>
      <c r="T4" s="257"/>
      <c r="U4" s="258"/>
      <c r="V4" s="259"/>
      <c r="W4" s="69"/>
      <c r="X4" s="69"/>
      <c r="Y4" s="69"/>
      <c r="Z4" s="70"/>
      <c r="AB4" s="159"/>
      <c r="AC4" s="160"/>
      <c r="AD4" s="498"/>
      <c r="AE4" s="498"/>
      <c r="AF4" s="165"/>
      <c r="AG4" s="166"/>
    </row>
    <row r="5" spans="1:33" ht="11.25" customHeight="1">
      <c r="B5" s="78" t="s">
        <v>61</v>
      </c>
      <c r="C5" s="115" t="s">
        <v>62</v>
      </c>
      <c r="D5" s="163"/>
      <c r="E5" s="164"/>
      <c r="F5" s="116"/>
      <c r="G5" s="116"/>
      <c r="H5" s="117"/>
      <c r="I5" s="219"/>
      <c r="J5" s="113"/>
      <c r="K5" s="113"/>
      <c r="L5" s="113"/>
      <c r="M5" s="113"/>
      <c r="N5" s="113"/>
      <c r="O5" s="113"/>
      <c r="P5" s="113"/>
      <c r="Q5" s="113"/>
      <c r="R5" s="256"/>
      <c r="S5" s="255"/>
      <c r="T5" s="257"/>
      <c r="U5" s="258"/>
      <c r="V5" s="259"/>
      <c r="W5" s="69"/>
      <c r="X5" s="69"/>
      <c r="Y5" s="69"/>
      <c r="Z5" s="70"/>
      <c r="AB5" s="159"/>
      <c r="AC5" s="160"/>
      <c r="AD5" s="498"/>
      <c r="AE5" s="498"/>
      <c r="AF5" s="165"/>
      <c r="AG5" s="166"/>
    </row>
    <row r="6" spans="1:33" ht="10.5" customHeight="1">
      <c r="B6" s="80" t="s">
        <v>65</v>
      </c>
      <c r="C6" s="115" t="s">
        <v>66</v>
      </c>
      <c r="D6" s="163"/>
      <c r="E6" s="164"/>
      <c r="F6" s="116"/>
      <c r="G6" s="116"/>
      <c r="H6" s="117"/>
      <c r="I6" s="219"/>
      <c r="J6" s="113"/>
      <c r="K6" s="113"/>
      <c r="L6" s="113"/>
      <c r="M6" s="113"/>
      <c r="N6" s="113"/>
      <c r="O6" s="113"/>
      <c r="P6" s="113"/>
      <c r="Q6" s="113"/>
      <c r="R6" s="256"/>
      <c r="S6" s="255"/>
      <c r="T6" s="257"/>
      <c r="U6" s="258"/>
      <c r="V6" s="259"/>
      <c r="W6" s="69"/>
      <c r="X6" s="69"/>
      <c r="Y6" s="69"/>
      <c r="Z6" s="70"/>
      <c r="AB6" s="159"/>
      <c r="AC6" s="160"/>
      <c r="AD6" s="498"/>
      <c r="AE6" s="498"/>
      <c r="AF6" s="30"/>
      <c r="AG6" s="29"/>
    </row>
    <row r="7" spans="1:33" ht="10.5" customHeight="1">
      <c r="B7" s="80"/>
      <c r="C7" s="115"/>
      <c r="D7" s="163"/>
      <c r="E7" s="164"/>
      <c r="F7" s="116"/>
      <c r="G7" s="116"/>
      <c r="H7" s="117"/>
      <c r="I7" s="219"/>
      <c r="J7" s="113"/>
      <c r="K7" s="113"/>
      <c r="L7" s="113"/>
      <c r="M7" s="113"/>
      <c r="N7" s="113"/>
      <c r="O7" s="113"/>
      <c r="P7" s="113"/>
      <c r="Q7" s="113"/>
      <c r="R7" s="256"/>
      <c r="S7" s="255"/>
      <c r="T7" s="257"/>
      <c r="U7" s="258"/>
      <c r="V7" s="259"/>
      <c r="W7" s="69"/>
      <c r="X7" s="69"/>
      <c r="Y7" s="69"/>
      <c r="Z7" s="70"/>
      <c r="AB7" s="159"/>
      <c r="AC7" s="160"/>
      <c r="AD7" s="498"/>
      <c r="AE7" s="498"/>
      <c r="AF7" s="30"/>
      <c r="AG7" s="29"/>
    </row>
    <row r="8" spans="1:33" ht="11.25" customHeight="1">
      <c r="B8" s="118"/>
      <c r="C8" s="119"/>
      <c r="D8" s="119"/>
      <c r="E8" s="119"/>
      <c r="F8" s="120"/>
      <c r="G8" s="120"/>
      <c r="H8" s="117"/>
      <c r="I8" s="219"/>
      <c r="J8" s="113"/>
      <c r="K8" s="113"/>
      <c r="L8" s="113"/>
      <c r="M8" s="113"/>
      <c r="N8" s="113"/>
      <c r="O8" s="113"/>
      <c r="P8" s="113"/>
      <c r="Q8" s="113"/>
      <c r="R8" s="256"/>
      <c r="S8" s="255"/>
      <c r="T8" s="257"/>
      <c r="U8" s="258"/>
      <c r="V8" s="259"/>
      <c r="W8" s="69"/>
      <c r="X8" s="69"/>
      <c r="Y8" s="69"/>
      <c r="Z8" s="70"/>
      <c r="AB8" s="167"/>
      <c r="AC8" s="168"/>
      <c r="AD8" s="498"/>
      <c r="AE8" s="498"/>
      <c r="AF8" s="165"/>
      <c r="AG8" s="166"/>
    </row>
    <row r="9" spans="1:33" ht="15" customHeight="1">
      <c r="A9" s="121"/>
      <c r="B9" s="73"/>
      <c r="C9" s="74"/>
      <c r="D9" s="74"/>
      <c r="E9" s="74"/>
      <c r="F9" s="123"/>
      <c r="G9" s="123"/>
      <c r="H9" s="117"/>
      <c r="I9" s="219"/>
      <c r="J9" s="113"/>
      <c r="K9" s="113"/>
      <c r="L9" s="113"/>
      <c r="M9" s="113"/>
      <c r="N9" s="113"/>
      <c r="O9" s="113"/>
      <c r="P9" s="113"/>
      <c r="Q9" s="113"/>
      <c r="R9" s="256"/>
      <c r="S9" s="255"/>
      <c r="T9" s="257"/>
      <c r="U9" s="258"/>
      <c r="V9" s="259"/>
      <c r="W9" s="69"/>
      <c r="X9" s="69"/>
      <c r="Y9" s="69"/>
      <c r="Z9" s="70"/>
      <c r="AB9" s="169"/>
      <c r="AC9" s="170"/>
      <c r="AD9" s="498"/>
      <c r="AE9" s="498"/>
      <c r="AF9" s="171"/>
      <c r="AG9" s="172"/>
    </row>
    <row r="10" spans="1:33" ht="22.5" customHeight="1">
      <c r="B10" s="260" t="s">
        <v>369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512"/>
      <c r="P10" s="512"/>
      <c r="Q10" s="512"/>
      <c r="R10" s="512"/>
      <c r="S10" s="255"/>
      <c r="T10" s="260"/>
      <c r="U10" s="261"/>
      <c r="V10" s="262"/>
      <c r="W10" s="512"/>
      <c r="X10" s="512"/>
      <c r="Y10" s="512"/>
      <c r="Z10" s="512"/>
      <c r="AB10" s="500" t="s">
        <v>147</v>
      </c>
      <c r="AC10" s="501" t="s">
        <v>81</v>
      </c>
      <c r="AD10" s="513" t="s">
        <v>148</v>
      </c>
      <c r="AE10" s="513"/>
      <c r="AF10" s="514" t="s">
        <v>149</v>
      </c>
      <c r="AG10" s="514"/>
    </row>
    <row r="11" spans="1:33" ht="39.75" customHeight="1">
      <c r="B11" s="208" t="s">
        <v>72</v>
      </c>
      <c r="C11" s="208" t="s">
        <v>90</v>
      </c>
      <c r="D11" s="95" t="s">
        <v>150</v>
      </c>
      <c r="E11" s="208" t="s">
        <v>91</v>
      </c>
      <c r="F11" s="208" t="s">
        <v>81</v>
      </c>
      <c r="G11" s="208" t="s">
        <v>84</v>
      </c>
      <c r="H11" s="208" t="s">
        <v>99</v>
      </c>
      <c r="I11" s="208" t="s">
        <v>83</v>
      </c>
      <c r="J11" s="494" t="s">
        <v>370</v>
      </c>
      <c r="K11" s="494"/>
      <c r="L11" s="494"/>
      <c r="M11" s="494"/>
      <c r="N11" s="208" t="s">
        <v>371</v>
      </c>
      <c r="O11" s="208" t="s">
        <v>67</v>
      </c>
      <c r="P11" s="95" t="s">
        <v>135</v>
      </c>
      <c r="Q11" s="95" t="s">
        <v>136</v>
      </c>
      <c r="R11" s="242" t="s">
        <v>55</v>
      </c>
      <c r="T11" s="94" t="s">
        <v>72</v>
      </c>
      <c r="U11" s="94" t="s">
        <v>372</v>
      </c>
      <c r="V11" s="94" t="s">
        <v>373</v>
      </c>
      <c r="W11" s="94" t="s">
        <v>67</v>
      </c>
      <c r="X11" s="95" t="s">
        <v>74</v>
      </c>
      <c r="Y11" s="95" t="s">
        <v>75</v>
      </c>
      <c r="Z11" s="133" t="s">
        <v>55</v>
      </c>
      <c r="AB11" s="500"/>
      <c r="AC11" s="501"/>
      <c r="AD11" s="177" t="s">
        <v>151</v>
      </c>
      <c r="AE11" s="178" t="s">
        <v>152</v>
      </c>
      <c r="AF11" s="179" t="s">
        <v>151</v>
      </c>
      <c r="AG11" s="180" t="s">
        <v>152</v>
      </c>
    </row>
    <row r="12" spans="1:33" ht="21.75" customHeight="1">
      <c r="B12" s="97" t="s">
        <v>374</v>
      </c>
      <c r="C12" s="98" t="str">
        <f>VLOOKUP(B12,ИСХОДНИК!A:P,5,FALSE())</f>
        <v>FIA 15 D STR PN 52</v>
      </c>
      <c r="D12" s="105" t="s">
        <v>257</v>
      </c>
      <c r="E12" s="134" t="str">
        <f>VLOOKUP(B12,ИСХОДНИК!A:P,11,FALSE())</f>
        <v>Под сварку встык DIN</v>
      </c>
      <c r="F12" s="105">
        <f>VLOOKUP(B12,ИСХОДНИК!A:P,7,FALSE())</f>
        <v>15</v>
      </c>
      <c r="G12" s="137" t="str">
        <f>VLOOKUP(B12,ИСХОДНИК!A:P,10,FALSE())</f>
        <v>R717, R744 и фреоны</v>
      </c>
      <c r="H12" s="137">
        <f>VLOOKUP(B12,ИСХОДНИК!A:P,8,FALSE())</f>
        <v>52</v>
      </c>
      <c r="I12" s="137" t="str">
        <f>VLOOKUP(B12,ИСХОДНИК!A:P,9,FALSE())</f>
        <v xml:space="preserve"> -60…120</v>
      </c>
      <c r="J12" s="137">
        <v>2.5</v>
      </c>
      <c r="K12" s="137">
        <v>2.6</v>
      </c>
      <c r="L12" s="137">
        <v>2.7</v>
      </c>
      <c r="M12" s="137">
        <v>2.8</v>
      </c>
      <c r="N12" s="137">
        <v>150</v>
      </c>
      <c r="O12" s="105" t="str">
        <f>VLOOKUP(B12,ИСХОДНИК!A:P,15,FALSE())</f>
        <v>U6 PL40R</v>
      </c>
      <c r="P12" s="139">
        <f>VLOOKUP(B12,ИСХОДНИК!A:P,13,FALSE())</f>
        <v>27000</v>
      </c>
      <c r="Q12" s="139">
        <f>VLOOKUP(B12,ИСХОДНИК!A:P,14,FALSE())</f>
        <v>31319.999999999996</v>
      </c>
      <c r="R12" s="140" t="str">
        <f>IF(VLOOKUP(B12,ИСХОДНИК!A:R,18,FALSE())=1,ИСХОДНИК!$T$2,IF(VLOOKUP(B12,ИСХОДНИК!A:R,18,FALSE())=2,ИСХОДНИК!$T$5,IF(VLOOKUP(B12,ИСХОДНИК!A:R,18,FALSE())=3,ИСХОДНИК!$T$6)))</f>
        <v>●</v>
      </c>
      <c r="T12" s="97" t="s">
        <v>375</v>
      </c>
      <c r="U12" s="98" t="str">
        <f>VLOOKUP(T12,ИСХОДНИК!A:P,7,FALSE())</f>
        <v xml:space="preserve"> FIA 15-25 </v>
      </c>
      <c r="V12" s="105" t="str">
        <f>VLOOKUP(T12,ИСХОДНИК!A:P,6,FALSE())</f>
        <v>100 мкм</v>
      </c>
      <c r="W12" s="105" t="str">
        <f>VLOOKUP(T12,ИСХОДНИК!A:P,15,FALSE())</f>
        <v>U6 PL40R</v>
      </c>
      <c r="X12" s="139">
        <f>VLOOKUP(T12,ИСХОДНИК!A:P,13,FALSE())</f>
        <v>16800</v>
      </c>
      <c r="Y12" s="139">
        <f>VLOOKUP(T12,ИСХОДНИК!A:P,14,FALSE())</f>
        <v>19488</v>
      </c>
      <c r="Z12" s="104" t="str">
        <f>IF(VLOOKUP(T12,ИСХОДНИК!A:R,18,FALSE())=1,ИСХОДНИК!$T$2,IF(VLOOKUP(T12,ИСХОДНИК!A:R,18,FALSE())=2,ИСХОДНИК!$T$5,IF(VLOOKUP(T12,ИСХОДНИК!A:R,18,FALSE())=3,ИСХОДНИК!$T$6)))</f>
        <v>◑</v>
      </c>
      <c r="AB12" s="181">
        <v>1</v>
      </c>
      <c r="AC12" s="182">
        <v>15</v>
      </c>
      <c r="AD12" s="183">
        <v>21.3</v>
      </c>
      <c r="AE12" s="184">
        <v>2.2999999999999998</v>
      </c>
      <c r="AF12" s="185">
        <v>18</v>
      </c>
      <c r="AG12" s="185">
        <v>2.5</v>
      </c>
    </row>
    <row r="13" spans="1:33" ht="21.75" customHeight="1">
      <c r="B13" s="97" t="s">
        <v>376</v>
      </c>
      <c r="C13" s="98" t="str">
        <f>VLOOKUP(B13,ИСХОДНИК!A:P,5,FALSE())</f>
        <v>FIA 20 D STR PN 52</v>
      </c>
      <c r="D13" s="105" t="s">
        <v>257</v>
      </c>
      <c r="E13" s="134" t="str">
        <f>VLOOKUP(B13,ИСХОДНИК!A:P,11,FALSE())</f>
        <v>Под сварку встык DIN</v>
      </c>
      <c r="F13" s="105">
        <f>VLOOKUP(B13,ИСХОДНИК!A:P,7,FALSE())</f>
        <v>20</v>
      </c>
      <c r="G13" s="137" t="str">
        <f>VLOOKUP(B13,ИСХОДНИК!A:P,10,FALSE())</f>
        <v>R717, R744 и фреоны</v>
      </c>
      <c r="H13" s="137">
        <f>VLOOKUP(B13,ИСХОДНИК!A:P,8,FALSE())</f>
        <v>52</v>
      </c>
      <c r="I13" s="137" t="str">
        <f>VLOOKUP(B13,ИСХОДНИК!A:P,9,FALSE())</f>
        <v xml:space="preserve"> -60…120</v>
      </c>
      <c r="J13" s="137">
        <v>5.3</v>
      </c>
      <c r="K13" s="137">
        <v>5.4</v>
      </c>
      <c r="L13" s="137">
        <v>5.6</v>
      </c>
      <c r="M13" s="137">
        <v>5.9</v>
      </c>
      <c r="N13" s="137">
        <v>150</v>
      </c>
      <c r="O13" s="105" t="str">
        <f>VLOOKUP(B13,ИСХОДНИК!A:P,15,FALSE())</f>
        <v>U6 PL40R</v>
      </c>
      <c r="P13" s="139">
        <f>VLOOKUP(B13,ИСХОДНИК!A:P,13,FALSE())</f>
        <v>30600</v>
      </c>
      <c r="Q13" s="139">
        <f>VLOOKUP(B13,ИСХОДНИК!A:P,14,FALSE())</f>
        <v>35496</v>
      </c>
      <c r="R13" s="140" t="str">
        <f>IF(VLOOKUP(B13,ИСХОДНИК!A:R,18,FALSE())=1,ИСХОДНИК!$T$2,IF(VLOOKUP(B13,ИСХОДНИК!A:R,18,FALSE())=2,ИСХОДНИК!$T$5,IF(VLOOKUP(B13,ИСХОДНИК!A:R,18,FALSE())=3,ИСХОДНИК!$T$6)))</f>
        <v>●</v>
      </c>
      <c r="T13" s="97" t="s">
        <v>377</v>
      </c>
      <c r="U13" s="98" t="str">
        <f>VLOOKUP(T13,ИСХОДНИК!A:P,7,FALSE())</f>
        <v xml:space="preserve"> FIA 15-25 </v>
      </c>
      <c r="V13" s="105" t="str">
        <f>VLOOKUP(T13,ИСХОДНИК!A:P,6,FALSE())</f>
        <v>150 мкм</v>
      </c>
      <c r="W13" s="105" t="str">
        <f>VLOOKUP(T13,ИСХОДНИК!A:P,15,FALSE())</f>
        <v>U6 PL40R</v>
      </c>
      <c r="X13" s="139">
        <f>VLOOKUP(T13,ИСХОДНИК!A:P,13,FALSE())</f>
        <v>16800</v>
      </c>
      <c r="Y13" s="139">
        <f>VLOOKUP(T13,ИСХОДНИК!A:P,14,FALSE())</f>
        <v>19488</v>
      </c>
      <c r="Z13" s="104" t="str">
        <f>IF(VLOOKUP(T13,ИСХОДНИК!A:R,18,FALSE())=1,ИСХОДНИК!$T$2,IF(VLOOKUP(T13,ИСХОДНИК!A:R,18,FALSE())=2,ИСХОДНИК!$T$5,IF(VLOOKUP(T13,ИСХОДНИК!A:R,18,FALSE())=3,ИСХОДНИК!$T$6)))</f>
        <v>◑</v>
      </c>
      <c r="AB13" s="105">
        <v>2</v>
      </c>
      <c r="AC13" s="182">
        <v>20</v>
      </c>
      <c r="AD13" s="183">
        <v>26.9</v>
      </c>
      <c r="AE13" s="184">
        <v>2.2999999999999998</v>
      </c>
      <c r="AF13" s="185">
        <v>25</v>
      </c>
      <c r="AG13" s="185">
        <v>2.5</v>
      </c>
    </row>
    <row r="14" spans="1:33" ht="21.75" customHeight="1">
      <c r="B14" s="97" t="s">
        <v>378</v>
      </c>
      <c r="C14" s="98" t="str">
        <f>VLOOKUP(B14,ИСХОДНИК!A:P,5,FALSE())</f>
        <v>FIA 25 D STR PN 52</v>
      </c>
      <c r="D14" s="105" t="s">
        <v>257</v>
      </c>
      <c r="E14" s="134" t="str">
        <f>VLOOKUP(B14,ИСХОДНИК!A:P,11,FALSE())</f>
        <v>Под сварку встык DIN</v>
      </c>
      <c r="F14" s="105">
        <f>VLOOKUP(B14,ИСХОДНИК!A:P,7,FALSE())</f>
        <v>25</v>
      </c>
      <c r="G14" s="137" t="str">
        <f>VLOOKUP(B14,ИСХОДНИК!A:P,10,FALSE())</f>
        <v>R717, R744 и фреоны</v>
      </c>
      <c r="H14" s="137">
        <f>VLOOKUP(B14,ИСХОДНИК!A:P,8,FALSE())</f>
        <v>52</v>
      </c>
      <c r="I14" s="137" t="str">
        <f>VLOOKUP(B14,ИСХОДНИК!A:P,9,FALSE())</f>
        <v xml:space="preserve"> -60…120</v>
      </c>
      <c r="J14" s="137">
        <v>10.5</v>
      </c>
      <c r="K14" s="137">
        <v>10.7</v>
      </c>
      <c r="L14" s="137">
        <v>11.1</v>
      </c>
      <c r="M14" s="137">
        <v>11.6</v>
      </c>
      <c r="N14" s="137">
        <v>150</v>
      </c>
      <c r="O14" s="105" t="str">
        <f>VLOOKUP(B14,ИСХОДНИК!A:P,15,FALSE())</f>
        <v>U6 PL40R</v>
      </c>
      <c r="P14" s="139">
        <f>VLOOKUP(B14,ИСХОДНИК!A:P,13,FALSE())</f>
        <v>37200</v>
      </c>
      <c r="Q14" s="139">
        <f>VLOOKUP(B14,ИСХОДНИК!A:P,14,FALSE())</f>
        <v>43152</v>
      </c>
      <c r="R14" s="140" t="str">
        <f>IF(VLOOKUP(B14,ИСХОДНИК!A:R,18,FALSE())=1,ИСХОДНИК!$T$2,IF(VLOOKUP(B14,ИСХОДНИК!A:R,18,FALSE())=2,ИСХОДНИК!$T$5,IF(VLOOKUP(B14,ИСХОДНИК!A:R,18,FALSE())=3,ИСХОДНИК!$T$6)))</f>
        <v>●</v>
      </c>
      <c r="T14" s="97" t="s">
        <v>379</v>
      </c>
      <c r="U14" s="98" t="str">
        <f>VLOOKUP(T14,ИСХОДНИК!A:P,7,FALSE())</f>
        <v xml:space="preserve"> FIA 15-25 </v>
      </c>
      <c r="V14" s="105" t="str">
        <f>VLOOKUP(T14,ИСХОДНИК!A:P,6,FALSE())</f>
        <v>250 мкм</v>
      </c>
      <c r="W14" s="105" t="str">
        <f>VLOOKUP(T14,ИСХОДНИК!A:P,15,FALSE())</f>
        <v>U6 PL40R</v>
      </c>
      <c r="X14" s="139">
        <f>VLOOKUP(T14,ИСХОДНИК!A:P,13,FALSE())</f>
        <v>16800</v>
      </c>
      <c r="Y14" s="139">
        <f>VLOOKUP(T14,ИСХОДНИК!A:P,14,FALSE())</f>
        <v>19488</v>
      </c>
      <c r="Z14" s="104" t="str">
        <f>IF(VLOOKUP(T14,ИСХОДНИК!A:R,18,FALSE())=1,ИСХОДНИК!$T$2,IF(VLOOKUP(T14,ИСХОДНИК!A:R,18,FALSE())=2,ИСХОДНИК!$T$5,IF(VLOOKUP(T14,ИСХОДНИК!A:R,18,FALSE())=3,ИСХОДНИК!$T$6)))</f>
        <v>◑</v>
      </c>
      <c r="AB14" s="105">
        <v>3</v>
      </c>
      <c r="AC14" s="105">
        <v>25</v>
      </c>
      <c r="AD14" s="184">
        <v>33.700000000000003</v>
      </c>
      <c r="AE14" s="184">
        <v>2.6</v>
      </c>
      <c r="AF14" s="185">
        <v>32</v>
      </c>
      <c r="AG14" s="185">
        <v>3</v>
      </c>
    </row>
    <row r="15" spans="1:33" ht="21.75" customHeight="1">
      <c r="B15" s="97" t="s">
        <v>380</v>
      </c>
      <c r="C15" s="98" t="str">
        <f>VLOOKUP(B15,ИСХОДНИК!A:P,5,FALSE())</f>
        <v>FIA 32 D STR PN 52</v>
      </c>
      <c r="D15" s="105" t="s">
        <v>257</v>
      </c>
      <c r="E15" s="134" t="str">
        <f>VLOOKUP(B15,ИСХОДНИК!A:P,11,FALSE())</f>
        <v>Под сварку встык DIN</v>
      </c>
      <c r="F15" s="105">
        <f>VLOOKUP(B15,ИСХОДНИК!A:P,7,FALSE())</f>
        <v>32</v>
      </c>
      <c r="G15" s="137" t="str">
        <f>VLOOKUP(B15,ИСХОДНИК!A:P,10,FALSE())</f>
        <v>R717, R744 и фреоны</v>
      </c>
      <c r="H15" s="137">
        <f>VLOOKUP(B15,ИСХОДНИК!A:P,8,FALSE())</f>
        <v>52</v>
      </c>
      <c r="I15" s="137" t="str">
        <f>VLOOKUP(B15,ИСХОДНИК!A:P,9,FALSE())</f>
        <v xml:space="preserve"> -60…120</v>
      </c>
      <c r="J15" s="137">
        <v>17.600000000000001</v>
      </c>
      <c r="K15" s="137">
        <v>18.2</v>
      </c>
      <c r="L15" s="137">
        <v>18.2</v>
      </c>
      <c r="M15" s="137">
        <v>19.5</v>
      </c>
      <c r="N15" s="137">
        <v>150</v>
      </c>
      <c r="O15" s="105" t="str">
        <f>VLOOKUP(B15,ИСХОДНИК!A:P,15,FALSE())</f>
        <v>U6 PL40R</v>
      </c>
      <c r="P15" s="139">
        <f>VLOOKUP(B15,ИСХОДНИК!A:P,13,FALSE())</f>
        <v>48000</v>
      </c>
      <c r="Q15" s="139">
        <f>VLOOKUP(B15,ИСХОДНИК!A:P,14,FALSE())</f>
        <v>55679.999999999993</v>
      </c>
      <c r="R15" s="104" t="str">
        <f>IF(VLOOKUP(B15,ИСХОДНИК!A:R,18,FALSE())=1,ИСХОДНИК!$T$2,IF(VLOOKUP(B15,ИСХОДНИК!A:R,18,FALSE())=2,ИСХОДНИК!$T$5,IF(VLOOKUP(B15,ИСХОДНИК!A:R,18,FALSE())=3,ИСХОДНИК!$T$6)))</f>
        <v>◑</v>
      </c>
      <c r="T15" s="97" t="s">
        <v>381</v>
      </c>
      <c r="U15" s="98" t="str">
        <f>VLOOKUP(T15,ИСХОДНИК!A:P,7,FALSE())</f>
        <v xml:space="preserve"> FIA 15-25 </v>
      </c>
      <c r="V15" s="105" t="str">
        <f>VLOOKUP(T15,ИСХОДНИК!A:P,6,FALSE())</f>
        <v>500 мкм</v>
      </c>
      <c r="W15" s="105" t="str">
        <f>VLOOKUP(T15,ИСХОДНИК!A:P,15,FALSE())</f>
        <v>U6 PL40R</v>
      </c>
      <c r="X15" s="139">
        <f>VLOOKUP(T15,ИСХОДНИК!A:P,13,FALSE())</f>
        <v>16800</v>
      </c>
      <c r="Y15" s="139">
        <f>VLOOKUP(T15,ИСХОДНИК!A:P,14,FALSE())</f>
        <v>19488</v>
      </c>
      <c r="Z15" s="140" t="str">
        <f>IF(VLOOKUP(T15,ИСХОДНИК!A:R,18,FALSE())=1,ИСХОДНИК!$T$2,IF(VLOOKUP(T15,ИСХОДНИК!A:R,18,FALSE())=2,ИСХОДНИК!$T$5,IF(VLOOKUP(T15,ИСХОДНИК!A:R,18,FALSE())=3,ИСХОДНИК!$T$6)))</f>
        <v>○</v>
      </c>
      <c r="AB15" s="105">
        <v>4</v>
      </c>
      <c r="AC15" s="105">
        <v>32</v>
      </c>
      <c r="AD15" s="184">
        <v>42.4</v>
      </c>
      <c r="AE15" s="184">
        <v>2.6</v>
      </c>
      <c r="AF15" s="185">
        <v>38</v>
      </c>
      <c r="AG15" s="185">
        <v>3</v>
      </c>
    </row>
    <row r="16" spans="1:33" ht="21.75" customHeight="1">
      <c r="B16" s="97" t="s">
        <v>382</v>
      </c>
      <c r="C16" s="98" t="str">
        <f>VLOOKUP(B16,ИСХОДНИК!A:P,5,FALSE())</f>
        <v>FIA 40 D STR PN 52</v>
      </c>
      <c r="D16" s="105" t="s">
        <v>257</v>
      </c>
      <c r="E16" s="134" t="str">
        <f>VLOOKUP(B16,ИСХОДНИК!A:P,11,FALSE())</f>
        <v>Под сварку встык DIN</v>
      </c>
      <c r="F16" s="105">
        <f>VLOOKUP(B16,ИСХОДНИК!A:P,7,FALSE())</f>
        <v>40</v>
      </c>
      <c r="G16" s="137" t="str">
        <f>VLOOKUP(B16,ИСХОДНИК!A:P,10,FALSE())</f>
        <v>R717, R744 и фреоны</v>
      </c>
      <c r="H16" s="137">
        <f>VLOOKUP(B16,ИСХОДНИК!A:P,8,FALSE())</f>
        <v>52</v>
      </c>
      <c r="I16" s="137" t="str">
        <f>VLOOKUP(B16,ИСХОДНИК!A:P,9,FALSE())</f>
        <v xml:space="preserve"> -60…120</v>
      </c>
      <c r="J16" s="137">
        <v>19.2</v>
      </c>
      <c r="K16" s="137">
        <v>19.5</v>
      </c>
      <c r="L16" s="137">
        <v>20.2</v>
      </c>
      <c r="M16" s="137">
        <v>21.5</v>
      </c>
      <c r="N16" s="137">
        <v>150</v>
      </c>
      <c r="O16" s="105" t="str">
        <f>VLOOKUP(B16,ИСХОДНИК!A:P,15,FALSE())</f>
        <v>U6 PL40R</v>
      </c>
      <c r="P16" s="139">
        <f>VLOOKUP(B16,ИСХОДНИК!A:P,13,FALSE())</f>
        <v>63600</v>
      </c>
      <c r="Q16" s="139">
        <f>VLOOKUP(B16,ИСХОДНИК!A:P,14,FALSE())</f>
        <v>73776</v>
      </c>
      <c r="R16" s="140" t="str">
        <f>IF(VLOOKUP(B16,ИСХОДНИК!A:R,18,FALSE())=1,ИСХОДНИК!$T$2,IF(VLOOKUP(B16,ИСХОДНИК!A:R,18,FALSE())=2,ИСХОДНИК!$T$5,IF(VLOOKUP(B16,ИСХОДНИК!A:R,18,FALSE())=3,ИСХОДНИК!$T$6)))</f>
        <v>●</v>
      </c>
      <c r="T16" s="97" t="s">
        <v>383</v>
      </c>
      <c r="U16" s="98" t="str">
        <f>VLOOKUP(T16,ИСХОДНИК!A:P,7,FALSE())</f>
        <v>FIA 32-40</v>
      </c>
      <c r="V16" s="105" t="str">
        <f>VLOOKUP(T16,ИСХОДНИК!A:P,6,FALSE())</f>
        <v>100 мкм</v>
      </c>
      <c r="W16" s="105" t="str">
        <f>VLOOKUP(T16,ИСХОДНИК!A:P,15,FALSE())</f>
        <v>U6 PL40R</v>
      </c>
      <c r="X16" s="139">
        <f>VLOOKUP(T16,ИСХОДНИК!A:P,13,FALSE())</f>
        <v>24000</v>
      </c>
      <c r="Y16" s="139">
        <f>VLOOKUP(T16,ИСХОДНИК!A:P,14,FALSE())</f>
        <v>27839.999999999996</v>
      </c>
      <c r="Z16" s="140" t="str">
        <f>IF(VLOOKUP(T16,ИСХОДНИК!A:R,18,FALSE())=1,ИСХОДНИК!$T$2,IF(VLOOKUP(T16,ИСХОДНИК!A:R,18,FALSE())=2,ИСХОДНИК!$T$5,IF(VLOOKUP(T16,ИСХОДНИК!A:R,18,FALSE())=3,ИСХОДНИК!$T$6)))</f>
        <v>○</v>
      </c>
      <c r="AB16" s="105">
        <v>5</v>
      </c>
      <c r="AC16" s="105">
        <v>40</v>
      </c>
      <c r="AD16" s="184">
        <v>48.3</v>
      </c>
      <c r="AE16" s="184">
        <v>2.6</v>
      </c>
      <c r="AF16" s="185">
        <v>45</v>
      </c>
      <c r="AG16" s="185">
        <v>3</v>
      </c>
    </row>
    <row r="17" spans="2:33" ht="21.75" customHeight="1">
      <c r="B17" s="97" t="s">
        <v>384</v>
      </c>
      <c r="C17" s="98" t="str">
        <f>VLOOKUP(B17,ИСХОДНИК!A:P,5,FALSE())</f>
        <v>FIA 50 D STR PN 52</v>
      </c>
      <c r="D17" s="105" t="s">
        <v>257</v>
      </c>
      <c r="E17" s="134" t="str">
        <f>VLOOKUP(B17,ИСХОДНИК!A:P,11,FALSE())</f>
        <v>Под сварку встык DIN</v>
      </c>
      <c r="F17" s="105">
        <f>VLOOKUP(B17,ИСХОДНИК!A:P,7,FALSE())</f>
        <v>50</v>
      </c>
      <c r="G17" s="137" t="str">
        <f>VLOOKUP(B17,ИСХОДНИК!A:P,10,FALSE())</f>
        <v>R717, R744 и фреоны</v>
      </c>
      <c r="H17" s="137">
        <f>VLOOKUP(B17,ИСХОДНИК!A:P,8,FALSE())</f>
        <v>52</v>
      </c>
      <c r="I17" s="137" t="str">
        <f>VLOOKUP(B17,ИСХОДНИК!A:P,9,FALSE())</f>
        <v xml:space="preserve"> -60…120</v>
      </c>
      <c r="J17" s="137">
        <v>34.5</v>
      </c>
      <c r="K17" s="137">
        <v>35.1</v>
      </c>
      <c r="L17" s="137">
        <v>36.4</v>
      </c>
      <c r="M17" s="137">
        <v>38.4</v>
      </c>
      <c r="N17" s="137">
        <v>150</v>
      </c>
      <c r="O17" s="105" t="str">
        <f>VLOOKUP(B17,ИСХОДНИК!A:P,15,FALSE())</f>
        <v>U6 PL40R</v>
      </c>
      <c r="P17" s="139">
        <f>VLOOKUP(B17,ИСХОДНИК!A:P,13,FALSE())</f>
        <v>78000</v>
      </c>
      <c r="Q17" s="139">
        <f>VLOOKUP(B17,ИСХОДНИК!A:P,14,FALSE())</f>
        <v>90480</v>
      </c>
      <c r="R17" s="104" t="str">
        <f>IF(VLOOKUP(B17,ИСХОДНИК!A:R,18,FALSE())=1,ИСХОДНИК!$T$2,IF(VLOOKUP(B17,ИСХОДНИК!A:R,18,FALSE())=2,ИСХОДНИК!$T$5,IF(VLOOKUP(B17,ИСХОДНИК!A:R,18,FALSE())=3,ИСХОДНИК!$T$6)))</f>
        <v>◑</v>
      </c>
      <c r="T17" s="97" t="s">
        <v>385</v>
      </c>
      <c r="U17" s="98" t="str">
        <f>VLOOKUP(T17,ИСХОДНИК!A:P,7,FALSE())</f>
        <v>FIA 32-40</v>
      </c>
      <c r="V17" s="105" t="str">
        <f>VLOOKUP(T17,ИСХОДНИК!A:P,6,FALSE())</f>
        <v>150 мкм</v>
      </c>
      <c r="W17" s="105" t="str">
        <f>VLOOKUP(T17,ИСХОДНИК!A:P,15,FALSE())</f>
        <v>U6 PL40R</v>
      </c>
      <c r="X17" s="139">
        <f>VLOOKUP(T17,ИСХОДНИК!A:P,13,FALSE())</f>
        <v>24000</v>
      </c>
      <c r="Y17" s="139">
        <f>VLOOKUP(T17,ИСХОДНИК!A:P,14,FALSE())</f>
        <v>27839.999999999996</v>
      </c>
      <c r="Z17" s="104" t="str">
        <f>IF(VLOOKUP(T17,ИСХОДНИК!A:R,18,FALSE())=1,ИСХОДНИК!$T$2,IF(VLOOKUP(T17,ИСХОДНИК!A:R,18,FALSE())=2,ИСХОДНИК!$T$5,IF(VLOOKUP(T17,ИСХОДНИК!A:R,18,FALSE())=3,ИСХОДНИК!$T$6)))</f>
        <v>◑</v>
      </c>
      <c r="AB17" s="105">
        <v>6</v>
      </c>
      <c r="AC17" s="105">
        <v>50</v>
      </c>
      <c r="AD17" s="184">
        <v>60.3</v>
      </c>
      <c r="AE17" s="184">
        <v>2.9</v>
      </c>
      <c r="AF17" s="248">
        <v>57</v>
      </c>
      <c r="AG17" s="248">
        <v>3.5</v>
      </c>
    </row>
    <row r="18" spans="2:33" ht="21.75" customHeight="1">
      <c r="B18" s="97" t="s">
        <v>386</v>
      </c>
      <c r="C18" s="98" t="str">
        <f>VLOOKUP(B18,ИСХОДНИК!A:P,5,FALSE())</f>
        <v>FIA 65 D STR PN 52</v>
      </c>
      <c r="D18" s="105" t="s">
        <v>257</v>
      </c>
      <c r="E18" s="134" t="str">
        <f>VLOOKUP(B18,ИСХОДНИК!A:P,11,FALSE())</f>
        <v>Под сварку встык DIN</v>
      </c>
      <c r="F18" s="105">
        <f>VLOOKUP(B18,ИСХОДНИК!A:P,7,FALSE())</f>
        <v>65</v>
      </c>
      <c r="G18" s="137" t="str">
        <f>VLOOKUP(B18,ИСХОДНИК!A:P,10,FALSE())</f>
        <v>R717, R744 и фреоны</v>
      </c>
      <c r="H18" s="137">
        <f>VLOOKUP(B18,ИСХОДНИК!A:P,8,FALSE())</f>
        <v>52</v>
      </c>
      <c r="I18" s="137" t="str">
        <f>VLOOKUP(B18,ИСХОДНИК!A:P,9,FALSE())</f>
        <v xml:space="preserve"> -60…120</v>
      </c>
      <c r="J18" s="137" t="s">
        <v>387</v>
      </c>
      <c r="K18" s="137">
        <v>42.9</v>
      </c>
      <c r="L18" s="137">
        <v>44.2</v>
      </c>
      <c r="M18" s="137">
        <v>46.2</v>
      </c>
      <c r="N18" s="137">
        <v>250</v>
      </c>
      <c r="O18" s="105" t="str">
        <f>VLOOKUP(B18,ИСХОДНИК!A:P,15,FALSE())</f>
        <v>U6 PL40R</v>
      </c>
      <c r="P18" s="139">
        <f>VLOOKUP(B18,ИСХОДНИК!A:P,13,FALSE())</f>
        <v>105600</v>
      </c>
      <c r="Q18" s="139">
        <f>VLOOKUP(B18,ИСХОДНИК!A:P,14,FALSE())</f>
        <v>122495.99999999999</v>
      </c>
      <c r="R18" s="104" t="str">
        <f>IF(VLOOKUP(B18,ИСХОДНИК!A:R,18,FALSE())=1,ИСХОДНИК!$T$2,IF(VLOOKUP(B18,ИСХОДНИК!A:R,18,FALSE())=2,ИСХОДНИК!$T$5,IF(VLOOKUP(B18,ИСХОДНИК!A:R,18,FALSE())=3,ИСХОДНИК!$T$6)))</f>
        <v>◑</v>
      </c>
      <c r="T18" s="97" t="s">
        <v>388</v>
      </c>
      <c r="U18" s="98" t="str">
        <f>VLOOKUP(T18,ИСХОДНИК!A:P,7,FALSE())</f>
        <v>FIA 32-40</v>
      </c>
      <c r="V18" s="105" t="str">
        <f>VLOOKUP(T18,ИСХОДНИК!A:P,6,FALSE())</f>
        <v>250 мкм</v>
      </c>
      <c r="W18" s="105" t="str">
        <f>VLOOKUP(T18,ИСХОДНИК!A:P,15,FALSE())</f>
        <v>U6 PL40R</v>
      </c>
      <c r="X18" s="139">
        <f>VLOOKUP(T18,ИСХОДНИК!A:P,13,FALSE())</f>
        <v>24000</v>
      </c>
      <c r="Y18" s="139">
        <f>VLOOKUP(T18,ИСХОДНИК!A:P,14,FALSE())</f>
        <v>27839.999999999996</v>
      </c>
      <c r="Z18" s="104" t="str">
        <f>IF(VLOOKUP(T18,ИСХОДНИК!A:R,18,FALSE())=1,ИСХОДНИК!$T$2,IF(VLOOKUP(T18,ИСХОДНИК!A:R,18,FALSE())=2,ИСХОДНИК!$T$5,IF(VLOOKUP(T18,ИСХОДНИК!A:R,18,FALSE())=3,ИСХОДНИК!$T$6)))</f>
        <v>◑</v>
      </c>
      <c r="AB18" s="105">
        <v>7</v>
      </c>
      <c r="AC18" s="105">
        <v>65</v>
      </c>
      <c r="AD18" s="184">
        <v>76.099999999999994</v>
      </c>
      <c r="AE18" s="249">
        <v>2.9</v>
      </c>
      <c r="AF18" s="190"/>
      <c r="AG18" s="191"/>
    </row>
    <row r="19" spans="2:33" ht="21.75" customHeight="1">
      <c r="B19" s="97" t="s">
        <v>389</v>
      </c>
      <c r="C19" s="98" t="str">
        <f>VLOOKUP(B19,ИСХОДНИК!A:P,5,FALSE())</f>
        <v>FIA 80 D STR PN 52</v>
      </c>
      <c r="D19" s="105" t="s">
        <v>257</v>
      </c>
      <c r="E19" s="134" t="str">
        <f>VLOOKUP(B19,ИСХОДНИК!A:P,11,FALSE())</f>
        <v>Под сварку встык DIN</v>
      </c>
      <c r="F19" s="105">
        <f>VLOOKUP(B19,ИСХОДНИК!A:P,7,FALSE())</f>
        <v>80</v>
      </c>
      <c r="G19" s="137" t="str">
        <f>VLOOKUP(B19,ИСХОДНИК!A:P,10,FALSE())</f>
        <v>R717, R744 и фреоны</v>
      </c>
      <c r="H19" s="137">
        <f>VLOOKUP(B19,ИСХОДНИК!A:P,8,FALSE())</f>
        <v>52</v>
      </c>
      <c r="I19" s="137" t="str">
        <f>VLOOKUP(B19,ИСХОДНИК!A:P,9,FALSE())</f>
        <v xml:space="preserve"> -60…120</v>
      </c>
      <c r="J19" s="137" t="s">
        <v>387</v>
      </c>
      <c r="K19" s="137">
        <v>80</v>
      </c>
      <c r="L19" s="137">
        <v>82.6</v>
      </c>
      <c r="M19" s="137">
        <v>86.5</v>
      </c>
      <c r="N19" s="137">
        <v>250</v>
      </c>
      <c r="O19" s="105" t="str">
        <f>VLOOKUP(B19,ИСХОДНИК!A:P,15,FALSE())</f>
        <v>U6 PL40R</v>
      </c>
      <c r="P19" s="139">
        <f>VLOOKUP(B19,ИСХОДНИК!A:P,13,FALSE())</f>
        <v>126000</v>
      </c>
      <c r="Q19" s="139">
        <f>VLOOKUP(B19,ИСХОДНИК!A:P,14,FALSE())</f>
        <v>146160</v>
      </c>
      <c r="R19" s="140" t="str">
        <f>IF(VLOOKUP(B19,ИСХОДНИК!A:R,18,FALSE())=1,ИСХОДНИК!$T$2,IF(VLOOKUP(B19,ИСХОДНИК!A:R,18,FALSE())=2,ИСХОДНИК!$T$5,IF(VLOOKUP(B19,ИСХОДНИК!A:R,18,FALSE())=3,ИСХОДНИК!$T$6)))</f>
        <v>●</v>
      </c>
      <c r="T19" s="97" t="s">
        <v>390</v>
      </c>
      <c r="U19" s="98" t="str">
        <f>VLOOKUP(T19,ИСХОДНИК!A:P,7,FALSE())</f>
        <v>FIA 32-40</v>
      </c>
      <c r="V19" s="105" t="str">
        <f>VLOOKUP(T19,ИСХОДНИК!A:P,6,FALSE())</f>
        <v>500 мкм</v>
      </c>
      <c r="W19" s="105" t="str">
        <f>VLOOKUP(T19,ИСХОДНИК!A:P,15,FALSE())</f>
        <v>U6 PL40R</v>
      </c>
      <c r="X19" s="139">
        <f>VLOOKUP(T19,ИСХОДНИК!A:P,13,FALSE())</f>
        <v>24000</v>
      </c>
      <c r="Y19" s="139">
        <f>VLOOKUP(T19,ИСХОДНИК!A:P,14,FALSE())</f>
        <v>27839.999999999996</v>
      </c>
      <c r="Z19" s="140" t="str">
        <f>IF(VLOOKUP(T19,ИСХОДНИК!A:R,18,FALSE())=1,ИСХОДНИК!$T$2,IF(VLOOKUP(T19,ИСХОДНИК!A:R,18,FALSE())=2,ИСХОДНИК!$T$5,IF(VLOOKUP(T19,ИСХОДНИК!A:R,18,FALSE())=3,ИСХОДНИК!$T$6)))</f>
        <v>○</v>
      </c>
      <c r="AB19" s="105">
        <v>8</v>
      </c>
      <c r="AC19" s="105">
        <v>80</v>
      </c>
      <c r="AD19" s="184">
        <v>88.9</v>
      </c>
      <c r="AE19" s="249">
        <v>3.2</v>
      </c>
      <c r="AF19" s="194"/>
      <c r="AG19" s="195"/>
    </row>
    <row r="20" spans="2:33" ht="21.75" customHeight="1">
      <c r="B20" s="97" t="s">
        <v>391</v>
      </c>
      <c r="C20" s="98" t="str">
        <f>VLOOKUP(B20,ИСХОДНИК!A:P,5,FALSE())</f>
        <v>FIA 100 D STR PN 52</v>
      </c>
      <c r="D20" s="105" t="s">
        <v>257</v>
      </c>
      <c r="E20" s="134" t="str">
        <f>VLOOKUP(B20,ИСХОДНИК!A:P,11,FALSE())</f>
        <v>Под сварку встык DIN</v>
      </c>
      <c r="F20" s="105">
        <f>VLOOKUP(B20,ИСХОДНИК!A:P,7,FALSE())</f>
        <v>100</v>
      </c>
      <c r="G20" s="137" t="str">
        <f>VLOOKUP(B20,ИСХОДНИК!A:P,10,FALSE())</f>
        <v>R717, R744 и фреоны</v>
      </c>
      <c r="H20" s="137">
        <f>VLOOKUP(B20,ИСХОДНИК!A:P,8,FALSE())</f>
        <v>52</v>
      </c>
      <c r="I20" s="137" t="str">
        <f>VLOOKUP(B20,ИСХОДНИК!A:P,9,FALSE())</f>
        <v xml:space="preserve"> -60…120</v>
      </c>
      <c r="J20" s="137" t="s">
        <v>387</v>
      </c>
      <c r="K20" s="137">
        <v>124.2</v>
      </c>
      <c r="L20" s="137">
        <v>128.1</v>
      </c>
      <c r="M20" s="137">
        <v>134.6</v>
      </c>
      <c r="N20" s="137">
        <v>250</v>
      </c>
      <c r="O20" s="105" t="str">
        <f>VLOOKUP(B20,ИСХОДНИК!A:P,15,FALSE())</f>
        <v>U6 PL40R</v>
      </c>
      <c r="P20" s="139">
        <f>VLOOKUP(B20,ИСХОДНИК!A:P,13,FALSE())</f>
        <v>240000</v>
      </c>
      <c r="Q20" s="139">
        <f>VLOOKUP(B20,ИСХОДНИК!A:P,14,FALSE())</f>
        <v>278400</v>
      </c>
      <c r="R20" s="140" t="str">
        <f>IF(VLOOKUP(B20,ИСХОДНИК!A:R,18,FALSE())=1,ИСХОДНИК!$T$2,IF(VLOOKUP(B20,ИСХОДНИК!A:R,18,FALSE())=2,ИСХОДНИК!$T$5,IF(VLOOKUP(B20,ИСХОДНИК!A:R,18,FALSE())=3,ИСХОДНИК!$T$6)))</f>
        <v>○</v>
      </c>
      <c r="T20" s="97" t="s">
        <v>392</v>
      </c>
      <c r="U20" s="98" t="str">
        <f>VLOOKUP(T20,ИСХОДНИК!A:P,7,FALSE())</f>
        <v>FIA 50</v>
      </c>
      <c r="V20" s="105" t="str">
        <f>VLOOKUP(T20,ИСХОДНИК!A:P,6,FALSE())</f>
        <v>100 мкм</v>
      </c>
      <c r="W20" s="105" t="str">
        <f>VLOOKUP(T20,ИСХОДНИК!A:P,15,FALSE())</f>
        <v>U6 PL40R</v>
      </c>
      <c r="X20" s="139">
        <f>VLOOKUP(T20,ИСХОДНИК!A:P,13,FALSE())</f>
        <v>33600</v>
      </c>
      <c r="Y20" s="139">
        <f>VLOOKUP(T20,ИСХОДНИК!A:P,14,FALSE())</f>
        <v>38976</v>
      </c>
      <c r="Z20" s="140" t="str">
        <f>IF(VLOOKUP(T20,ИСХОДНИК!A:R,18,FALSE())=1,ИСХОДНИК!$T$2,IF(VLOOKUP(T20,ИСХОДНИК!A:R,18,FALSE())=2,ИСХОДНИК!$T$5,IF(VLOOKUP(T20,ИСХОДНИК!A:R,18,FALSE())=3,ИСХОДНИК!$T$6)))</f>
        <v>○</v>
      </c>
      <c r="AB20" s="105">
        <v>9</v>
      </c>
      <c r="AC20" s="105">
        <v>100</v>
      </c>
      <c r="AD20" s="184">
        <v>114.3</v>
      </c>
      <c r="AE20" s="184">
        <v>3.6</v>
      </c>
      <c r="AF20" s="250">
        <v>108</v>
      </c>
      <c r="AG20" s="250">
        <v>4</v>
      </c>
    </row>
    <row r="21" spans="2:33" ht="21.75" customHeight="1">
      <c r="B21" s="97" t="s">
        <v>393</v>
      </c>
      <c r="C21" s="98" t="str">
        <f>VLOOKUP(B21,ИСХОДНИК!A:P,5,FALSE())</f>
        <v>FIA 100 G STR PN 52</v>
      </c>
      <c r="D21" s="105" t="s">
        <v>257</v>
      </c>
      <c r="E21" s="134" t="str">
        <f>VLOOKUP(B21,ИСХОДНИК!A:P,11,FALSE())</f>
        <v>Под сварку встык GOST</v>
      </c>
      <c r="F21" s="105">
        <f>VLOOKUP(B21,ИСХОДНИК!A:P,7,FALSE())</f>
        <v>100</v>
      </c>
      <c r="G21" s="137" t="str">
        <f>VLOOKUP(B21,ИСХОДНИК!A:P,10,FALSE())</f>
        <v>R717, R744 и фреоны</v>
      </c>
      <c r="H21" s="137">
        <f>VLOOKUP(B21,ИСХОДНИК!A:P,8,FALSE())</f>
        <v>52</v>
      </c>
      <c r="I21" s="137" t="str">
        <f>VLOOKUP(B21,ИСХОДНИК!A:P,9,FALSE())</f>
        <v xml:space="preserve"> -60…120</v>
      </c>
      <c r="J21" s="137" t="s">
        <v>387</v>
      </c>
      <c r="K21" s="137">
        <v>124.2</v>
      </c>
      <c r="L21" s="137">
        <v>128.1</v>
      </c>
      <c r="M21" s="137">
        <v>134.6</v>
      </c>
      <c r="N21" s="137">
        <v>250</v>
      </c>
      <c r="O21" s="105" t="str">
        <f>VLOOKUP(B21,ИСХОДНИК!A:P,15,FALSE())</f>
        <v>U6 PL40R</v>
      </c>
      <c r="P21" s="139">
        <f>VLOOKUP(B21,ИСХОДНИК!A:P,13,FALSE())</f>
        <v>240000</v>
      </c>
      <c r="Q21" s="139">
        <f>VLOOKUP(B21,ИСХОДНИК!A:P,14,FALSE())</f>
        <v>278400</v>
      </c>
      <c r="R21" s="140" t="str">
        <f>IF(VLOOKUP(B21,ИСХОДНИК!A:R,18,FALSE())=1,ИСХОДНИК!$T$2,IF(VLOOKUP(B21,ИСХОДНИК!A:R,18,FALSE())=2,ИСХОДНИК!$T$5,IF(VLOOKUP(B21,ИСХОДНИК!A:R,18,FALSE())=3,ИСХОДНИК!$T$6)))</f>
        <v>○</v>
      </c>
      <c r="T21" s="97" t="s">
        <v>394</v>
      </c>
      <c r="U21" s="98" t="str">
        <f>VLOOKUP(T21,ИСХОДНИК!A:P,7,FALSE())</f>
        <v>FIA 50</v>
      </c>
      <c r="V21" s="105" t="str">
        <f>VLOOKUP(T21,ИСХОДНИК!A:P,6,FALSE())</f>
        <v>150 мкм</v>
      </c>
      <c r="W21" s="105" t="str">
        <f>VLOOKUP(T21,ИСХОДНИК!A:P,15,FALSE())</f>
        <v>U6 PL40R</v>
      </c>
      <c r="X21" s="139">
        <f>VLOOKUP(T21,ИСХОДНИК!A:P,13,FALSE())</f>
        <v>33600</v>
      </c>
      <c r="Y21" s="139">
        <f>VLOOKUP(T21,ИСХОДНИК!A:P,14,FALSE())</f>
        <v>38976</v>
      </c>
      <c r="Z21" s="104" t="str">
        <f>IF(VLOOKUP(T21,ИСХОДНИК!A:R,18,FALSE())=1,ИСХОДНИК!$T$2,IF(VLOOKUP(T21,ИСХОДНИК!A:R,18,FALSE())=2,ИСХОДНИК!$T$5,IF(VLOOKUP(T21,ИСХОДНИК!A:R,18,FALSE())=3,ИСХОДНИК!$T$6)))</f>
        <v>◑</v>
      </c>
      <c r="AB21" s="105">
        <v>10</v>
      </c>
      <c r="AC21" s="105">
        <v>125</v>
      </c>
      <c r="AD21" s="184">
        <v>139.69999999999999</v>
      </c>
      <c r="AE21" s="184">
        <v>4</v>
      </c>
      <c r="AF21" s="185">
        <v>133</v>
      </c>
      <c r="AG21" s="185">
        <v>4</v>
      </c>
    </row>
    <row r="22" spans="2:33" ht="21.75" customHeight="1">
      <c r="B22" s="97" t="s">
        <v>395</v>
      </c>
      <c r="C22" s="98" t="str">
        <f>VLOOKUP(B22,ИСХОДНИК!A:P,5,FALSE())</f>
        <v>FIA 100 D STR PN 40</v>
      </c>
      <c r="D22" s="105" t="s">
        <v>257</v>
      </c>
      <c r="E22" s="134" t="str">
        <f>VLOOKUP(B22,ИСХОДНИК!A:P,11,FALSE())</f>
        <v>Под сварку встык DIN</v>
      </c>
      <c r="F22" s="105">
        <f>VLOOKUP(B22,ИСХОДНИК!A:P,7,FALSE())</f>
        <v>100</v>
      </c>
      <c r="G22" s="137" t="str">
        <f>VLOOKUP(B22,ИСХОДНИК!A:P,10,FALSE())</f>
        <v>R717, R744 и фреоны</v>
      </c>
      <c r="H22" s="137">
        <f>VLOOKUP(B22,ИСХОДНИК!A:P,8,FALSE())</f>
        <v>40</v>
      </c>
      <c r="I22" s="137" t="str">
        <f>VLOOKUP(B22,ИСХОДНИК!A:P,9,FALSE())</f>
        <v xml:space="preserve"> -60…120</v>
      </c>
      <c r="J22" s="137" t="s">
        <v>387</v>
      </c>
      <c r="K22" s="137">
        <v>124.2</v>
      </c>
      <c r="L22" s="137">
        <v>128.1</v>
      </c>
      <c r="M22" s="137">
        <v>134.6</v>
      </c>
      <c r="N22" s="137">
        <v>250</v>
      </c>
      <c r="O22" s="105" t="str">
        <f>VLOOKUP(B22,ИСХОДНИК!A:P,15,FALSE())</f>
        <v>U6 PL40R</v>
      </c>
      <c r="P22" s="139">
        <f>VLOOKUP(B22,ИСХОДНИК!A:P,13,FALSE())</f>
        <v>210000</v>
      </c>
      <c r="Q22" s="139">
        <f>VLOOKUP(B22,ИСХОДНИК!A:P,14,FALSE())</f>
        <v>243599.99999999997</v>
      </c>
      <c r="R22" s="104" t="str">
        <f>IF(VLOOKUP(B22,ИСХОДНИК!A:R,18,FALSE())=1,ИСХОДНИК!$T$2,IF(VLOOKUP(B22,ИСХОДНИК!A:R,18,FALSE())=2,ИСХОДНИК!$T$5,IF(VLOOKUP(B22,ИСХОДНИК!A:R,18,FALSE())=3,ИСХОДНИК!$T$6)))</f>
        <v>◑</v>
      </c>
      <c r="T22" s="97" t="s">
        <v>396</v>
      </c>
      <c r="U22" s="98" t="str">
        <f>VLOOKUP(T22,ИСХОДНИК!A:P,7,FALSE())</f>
        <v>FIA 50</v>
      </c>
      <c r="V22" s="105" t="str">
        <f>VLOOKUP(T22,ИСХОДНИК!A:P,6,FALSE())</f>
        <v>250 мкм</v>
      </c>
      <c r="W22" s="105" t="str">
        <f>VLOOKUP(T22,ИСХОДНИК!A:P,15,FALSE())</f>
        <v>U6 PL40R</v>
      </c>
      <c r="X22" s="139">
        <f>VLOOKUP(T22,ИСХОДНИК!A:P,13,FALSE())</f>
        <v>33600</v>
      </c>
      <c r="Y22" s="139">
        <f>VLOOKUP(T22,ИСХОДНИК!A:P,14,FALSE())</f>
        <v>38976</v>
      </c>
      <c r="Z22" s="104" t="str">
        <f>IF(VLOOKUP(T22,ИСХОДНИК!A:R,18,FALSE())=1,ИСХОДНИК!$T$2,IF(VLOOKUP(T22,ИСХОДНИК!A:R,18,FALSE())=2,ИСХОДНИК!$T$5,IF(VLOOKUP(T22,ИСХОДНИК!A:R,18,FALSE())=3,ИСХОДНИК!$T$6)))</f>
        <v>◑</v>
      </c>
      <c r="AB22" s="105">
        <v>11</v>
      </c>
      <c r="AC22" s="105">
        <v>150</v>
      </c>
      <c r="AD22" s="184">
        <v>168.3</v>
      </c>
      <c r="AE22" s="184">
        <v>4.5</v>
      </c>
      <c r="AF22" s="185">
        <v>159</v>
      </c>
      <c r="AG22" s="185">
        <v>4.5</v>
      </c>
    </row>
    <row r="23" spans="2:33" ht="21.75" customHeight="1">
      <c r="B23" s="97" t="s">
        <v>397</v>
      </c>
      <c r="C23" s="98" t="str">
        <f>VLOOKUP(B23,ИСХОДНИК!A:P,5,FALSE())</f>
        <v>FIA 100 G STR PN 40</v>
      </c>
      <c r="D23" s="105" t="s">
        <v>257</v>
      </c>
      <c r="E23" s="134" t="str">
        <f>VLOOKUP(B23,ИСХОДНИК!A:P,11,FALSE())</f>
        <v>Под сварку встык GOST</v>
      </c>
      <c r="F23" s="105">
        <f>VLOOKUP(B23,ИСХОДНИК!A:P,7,FALSE())</f>
        <v>100</v>
      </c>
      <c r="G23" s="137" t="str">
        <f>VLOOKUP(B23,ИСХОДНИК!A:P,10,FALSE())</f>
        <v>R717, R744 и фреоны</v>
      </c>
      <c r="H23" s="137">
        <f>VLOOKUP(B23,ИСХОДНИК!A:P,8,FALSE())</f>
        <v>40</v>
      </c>
      <c r="I23" s="137" t="str">
        <f>VLOOKUP(B23,ИСХОДНИК!A:P,9,FALSE())</f>
        <v xml:space="preserve"> -60…120</v>
      </c>
      <c r="J23" s="137" t="s">
        <v>387</v>
      </c>
      <c r="K23" s="137">
        <v>124.2</v>
      </c>
      <c r="L23" s="137">
        <v>128.1</v>
      </c>
      <c r="M23" s="137">
        <v>134.6</v>
      </c>
      <c r="N23" s="137">
        <v>250</v>
      </c>
      <c r="O23" s="105" t="str">
        <f>VLOOKUP(B23,ИСХОДНИК!A:P,15,FALSE())</f>
        <v>U6 PL40R</v>
      </c>
      <c r="P23" s="139">
        <f>VLOOKUP(B23,ИСХОДНИК!A:P,13,FALSE())</f>
        <v>210000</v>
      </c>
      <c r="Q23" s="139">
        <f>VLOOKUP(B23,ИСХОДНИК!A:P,14,FALSE())</f>
        <v>243599.99999999997</v>
      </c>
      <c r="R23" s="140" t="str">
        <f>IF(VLOOKUP(B23,ИСХОДНИК!A:R,18,FALSE())=1,ИСХОДНИК!$T$2,IF(VLOOKUP(B23,ИСХОДНИК!A:R,18,FALSE())=2,ИСХОДНИК!$T$5,IF(VLOOKUP(B23,ИСХОДНИК!A:R,18,FALSE())=3,ИСХОДНИК!$T$6)))</f>
        <v>○</v>
      </c>
      <c r="T23" s="97" t="s">
        <v>398</v>
      </c>
      <c r="U23" s="98" t="str">
        <f>VLOOKUP(T23,ИСХОДНИК!A:P,7,FALSE())</f>
        <v>FIA 50</v>
      </c>
      <c r="V23" s="105" t="str">
        <f>VLOOKUP(T23,ИСХОДНИК!A:P,6,FALSE())</f>
        <v>500 мкм</v>
      </c>
      <c r="W23" s="105" t="str">
        <f>VLOOKUP(T23,ИСХОДНИК!A:P,15,FALSE())</f>
        <v>U6 PL40R</v>
      </c>
      <c r="X23" s="139">
        <f>VLOOKUP(T23,ИСХОДНИК!A:P,13,FALSE())</f>
        <v>33600</v>
      </c>
      <c r="Y23" s="139">
        <f>VLOOKUP(T23,ИСХОДНИК!A:P,14,FALSE())</f>
        <v>38976</v>
      </c>
      <c r="Z23" s="140" t="str">
        <f>IF(VLOOKUP(T23,ИСХОДНИК!A:R,18,FALSE())=1,ИСХОДНИК!$T$2,IF(VLOOKUP(T23,ИСХОДНИК!A:R,18,FALSE())=2,ИСХОДНИК!$T$5,IF(VLOOKUP(T23,ИСХОДНИК!A:R,18,FALSE())=3,ИСХОДНИК!$T$6)))</f>
        <v>○</v>
      </c>
      <c r="AB23" s="105">
        <v>12</v>
      </c>
      <c r="AC23" s="105">
        <v>200</v>
      </c>
      <c r="AD23" s="184">
        <v>219.1</v>
      </c>
      <c r="AE23" s="184">
        <v>6</v>
      </c>
      <c r="AF23" s="190"/>
      <c r="AG23" s="191"/>
    </row>
    <row r="24" spans="2:33" ht="21.75" customHeight="1">
      <c r="B24" s="97" t="s">
        <v>399</v>
      </c>
      <c r="C24" s="98" t="str">
        <f>VLOOKUP(B24,ИСХОДНИК!A:P,5,FALSE())</f>
        <v>FIA 125 D STR PN 52</v>
      </c>
      <c r="D24" s="105" t="s">
        <v>257</v>
      </c>
      <c r="E24" s="134" t="str">
        <f>VLOOKUP(B24,ИСХОДНИК!A:P,11,FALSE())</f>
        <v>Под сварку встык DIN</v>
      </c>
      <c r="F24" s="105">
        <f>VLOOKUP(B24,ИСХОДНИК!A:P,7,FALSE())</f>
        <v>125</v>
      </c>
      <c r="G24" s="137" t="str">
        <f>VLOOKUP(B24,ИСХОДНИК!A:P,10,FALSE())</f>
        <v>R717, R744 и фреоны</v>
      </c>
      <c r="H24" s="137">
        <f>VLOOKUP(B24,ИСХОДНИК!A:P,8,FALSE())</f>
        <v>52</v>
      </c>
      <c r="I24" s="137" t="str">
        <f>VLOOKUP(B24,ИСХОДНИК!A:P,9,FALSE())</f>
        <v xml:space="preserve"> -60…120</v>
      </c>
      <c r="J24" s="137" t="s">
        <v>387</v>
      </c>
      <c r="K24" s="137">
        <v>210.6</v>
      </c>
      <c r="L24" s="137">
        <v>217.1</v>
      </c>
      <c r="M24" s="137">
        <v>228.2</v>
      </c>
      <c r="N24" s="137">
        <v>250</v>
      </c>
      <c r="O24" s="105" t="str">
        <f>VLOOKUP(B24,ИСХОДНИК!A:P,15,FALSE())</f>
        <v>U6 PL40R</v>
      </c>
      <c r="P24" s="139">
        <f>VLOOKUP(B24,ИСХОДНИК!A:P,13,FALSE())</f>
        <v>435000</v>
      </c>
      <c r="Q24" s="139">
        <f>VLOOKUP(B24,ИСХОДНИК!A:P,14,FALSE())</f>
        <v>504599.99999999994</v>
      </c>
      <c r="R24" s="140" t="str">
        <f>IF(VLOOKUP(B24,ИСХОДНИК!A:R,18,FALSE())=1,ИСХОДНИК!$T$2,IF(VLOOKUP(B24,ИСХОДНИК!A:R,18,FALSE())=2,ИСХОДНИК!$T$5,IF(VLOOKUP(B24,ИСХОДНИК!A:R,18,FALSE())=3,ИСХОДНИК!$T$6)))</f>
        <v>○</v>
      </c>
      <c r="T24" s="97" t="s">
        <v>400</v>
      </c>
      <c r="U24" s="98" t="str">
        <f>VLOOKUP(T24,ИСХОДНИК!A:P,7,FALSE())</f>
        <v>FIA 65</v>
      </c>
      <c r="V24" s="105" t="str">
        <f>VLOOKUP(T24,ИСХОДНИК!A:P,6,FALSE())</f>
        <v>150 мкм</v>
      </c>
      <c r="W24" s="105" t="str">
        <f>VLOOKUP(T24,ИСХОДНИК!A:P,15,FALSE())</f>
        <v>U6 PL40R</v>
      </c>
      <c r="X24" s="139">
        <f>VLOOKUP(T24,ИСХОДНИК!A:P,13,FALSE())</f>
        <v>51000</v>
      </c>
      <c r="Y24" s="139">
        <f>VLOOKUP(T24,ИСХОДНИК!A:P,14,FALSE())</f>
        <v>59159.999999999993</v>
      </c>
      <c r="Z24" s="104" t="str">
        <f>IF(VLOOKUP(T24,ИСХОДНИК!A:R,18,FALSE())=1,ИСХОДНИК!$T$2,IF(VLOOKUP(T24,ИСХОДНИК!A:R,18,FALSE())=2,ИСХОДНИК!$T$5,IF(VLOOKUP(T24,ИСХОДНИК!A:R,18,FALSE())=3,ИСХОДНИК!$T$6)))</f>
        <v>◑</v>
      </c>
      <c r="AB24" s="105">
        <v>13</v>
      </c>
      <c r="AC24" s="105">
        <v>250</v>
      </c>
      <c r="AD24" s="184">
        <v>273</v>
      </c>
      <c r="AE24" s="184">
        <v>6.3</v>
      </c>
      <c r="AF24" s="194"/>
      <c r="AG24" s="195"/>
    </row>
    <row r="25" spans="2:33" ht="21.75" customHeight="1">
      <c r="B25" s="97" t="s">
        <v>401</v>
      </c>
      <c r="C25" s="98" t="str">
        <f>VLOOKUP(B25,ИСХОДНИК!A:P,5,FALSE())</f>
        <v>FIA 125 G STR PN 52</v>
      </c>
      <c r="D25" s="105" t="s">
        <v>257</v>
      </c>
      <c r="E25" s="134" t="str">
        <f>VLOOKUP(B25,ИСХОДНИК!A:P,11,FALSE())</f>
        <v>Под сварку встык GOST</v>
      </c>
      <c r="F25" s="105">
        <f>VLOOKUP(B25,ИСХОДНИК!A:P,7,FALSE())</f>
        <v>125</v>
      </c>
      <c r="G25" s="137" t="str">
        <f>VLOOKUP(B25,ИСХОДНИК!A:P,10,FALSE())</f>
        <v>R717, R744 и фреоны</v>
      </c>
      <c r="H25" s="137">
        <f>VLOOKUP(B25,ИСХОДНИК!A:P,8,FALSE())</f>
        <v>52</v>
      </c>
      <c r="I25" s="137" t="str">
        <f>VLOOKUP(B25,ИСХОДНИК!A:P,9,FALSE())</f>
        <v xml:space="preserve"> -60…120</v>
      </c>
      <c r="J25" s="137" t="s">
        <v>387</v>
      </c>
      <c r="K25" s="137">
        <v>297</v>
      </c>
      <c r="L25" s="137">
        <v>306.10000000000002</v>
      </c>
      <c r="M25" s="137">
        <v>321.8</v>
      </c>
      <c r="N25" s="137">
        <v>250</v>
      </c>
      <c r="O25" s="105" t="str">
        <f>VLOOKUP(B25,ИСХОДНИК!A:P,15,FALSE())</f>
        <v>U6 PL40R</v>
      </c>
      <c r="P25" s="139">
        <f>VLOOKUP(B25,ИСХОДНИК!A:P,13,FALSE())</f>
        <v>435000</v>
      </c>
      <c r="Q25" s="139">
        <f>VLOOKUP(B25,ИСХОДНИК!A:P,14,FALSE())</f>
        <v>504599.99999999994</v>
      </c>
      <c r="R25" s="140" t="str">
        <f>IF(VLOOKUP(B25,ИСХОДНИК!A:R,18,FALSE())=1,ИСХОДНИК!$T$2,IF(VLOOKUP(B25,ИСХОДНИК!A:R,18,FALSE())=2,ИСХОДНИК!$T$5,IF(VLOOKUP(B25,ИСХОДНИК!A:R,18,FALSE())=3,ИСХОДНИК!$T$6)))</f>
        <v>○</v>
      </c>
      <c r="T25" s="97" t="s">
        <v>402</v>
      </c>
      <c r="U25" s="98" t="str">
        <f>VLOOKUP(T25,ИСХОДНИК!A:P,7,FALSE())</f>
        <v>FIA 65</v>
      </c>
      <c r="V25" s="105" t="str">
        <f>VLOOKUP(T25,ИСХОДНИК!A:P,6,FALSE())</f>
        <v>250 мкм</v>
      </c>
      <c r="W25" s="105" t="str">
        <f>VLOOKUP(T25,ИСХОДНИК!A:P,15,FALSE())</f>
        <v>U6 PL40R</v>
      </c>
      <c r="X25" s="139">
        <f>VLOOKUP(T25,ИСХОДНИК!A:P,13,FALSE())</f>
        <v>51000</v>
      </c>
      <c r="Y25" s="139">
        <f>VLOOKUP(T25,ИСХОДНИК!A:P,14,FALSE())</f>
        <v>59159.999999999993</v>
      </c>
      <c r="Z25" s="104" t="str">
        <f>IF(VLOOKUP(T25,ИСХОДНИК!A:R,18,FALSE())=1,ИСХОДНИК!$T$2,IF(VLOOKUP(T25,ИСХОДНИК!A:R,18,FALSE())=2,ИСХОДНИК!$T$5,IF(VLOOKUP(T25,ИСХОДНИК!A:R,18,FALSE())=3,ИСХОДНИК!$T$6)))</f>
        <v>◑</v>
      </c>
    </row>
    <row r="26" spans="2:33" ht="21.75" customHeight="1">
      <c r="B26" s="97" t="s">
        <v>403</v>
      </c>
      <c r="C26" s="98" t="str">
        <f>VLOOKUP(B26,ИСХОДНИК!A:P,5,FALSE())</f>
        <v>FIA 125 D STR PN 40</v>
      </c>
      <c r="D26" s="105" t="s">
        <v>257</v>
      </c>
      <c r="E26" s="134" t="str">
        <f>VLOOKUP(B26,ИСХОДНИК!A:P,11,FALSE())</f>
        <v>Под сварку встык DIN</v>
      </c>
      <c r="F26" s="105">
        <f>VLOOKUP(B26,ИСХОДНИК!A:P,7,FALSE())</f>
        <v>125</v>
      </c>
      <c r="G26" s="137" t="str">
        <f>VLOOKUP(B26,ИСХОДНИК!A:P,10,FALSE())</f>
        <v>R717, R744 и фреоны</v>
      </c>
      <c r="H26" s="137">
        <f>VLOOKUP(B26,ИСХОДНИК!A:P,8,FALSE())</f>
        <v>40</v>
      </c>
      <c r="I26" s="137" t="str">
        <f>VLOOKUP(B26,ИСХОДНИК!A:P,9,FALSE())</f>
        <v xml:space="preserve"> -60…120</v>
      </c>
      <c r="J26" s="137" t="s">
        <v>387</v>
      </c>
      <c r="K26" s="137">
        <v>383.4</v>
      </c>
      <c r="L26" s="137">
        <v>395.1</v>
      </c>
      <c r="M26" s="137">
        <v>415.4</v>
      </c>
      <c r="N26" s="137">
        <v>250</v>
      </c>
      <c r="O26" s="105" t="str">
        <f>VLOOKUP(B26,ИСХОДНИК!A:P,15,FALSE())</f>
        <v>U6 PL40R</v>
      </c>
      <c r="P26" s="139">
        <f>VLOOKUP(B26,ИСХОДНИК!A:P,13,FALSE())</f>
        <v>354000</v>
      </c>
      <c r="Q26" s="139">
        <f>VLOOKUP(B26,ИСХОДНИК!A:P,14,FALSE())</f>
        <v>410640</v>
      </c>
      <c r="R26" s="140" t="str">
        <f>IF(VLOOKUP(B26,ИСХОДНИК!A:R,18,FALSE())=1,ИСХОДНИК!$T$2,IF(VLOOKUP(B26,ИСХОДНИК!A:R,18,FALSE())=2,ИСХОДНИК!$T$5,IF(VLOOKUP(B26,ИСХОДНИК!A:R,18,FALSE())=3,ИСХОДНИК!$T$6)))</f>
        <v>○</v>
      </c>
      <c r="T26" s="97" t="s">
        <v>404</v>
      </c>
      <c r="U26" s="98" t="str">
        <f>VLOOKUP(T26,ИСХОДНИК!A:P,7,FALSE())</f>
        <v>FIA 65</v>
      </c>
      <c r="V26" s="105" t="str">
        <f>VLOOKUP(T26,ИСХОДНИК!A:P,6,FALSE())</f>
        <v>500 мкм</v>
      </c>
      <c r="W26" s="105" t="str">
        <f>VLOOKUP(T26,ИСХОДНИК!A:P,15,FALSE())</f>
        <v>U6 PL40R</v>
      </c>
      <c r="X26" s="139">
        <f>VLOOKUP(T26,ИСХОДНИК!A:P,13,FALSE())</f>
        <v>51000</v>
      </c>
      <c r="Y26" s="139">
        <f>VLOOKUP(T26,ИСХОДНИК!A:P,14,FALSE())</f>
        <v>59159.999999999993</v>
      </c>
      <c r="Z26" s="104" t="str">
        <f>IF(VLOOKUP(T26,ИСХОДНИК!A:R,18,FALSE())=1,ИСХОДНИК!$T$2,IF(VLOOKUP(T26,ИСХОДНИК!A:R,18,FALSE())=2,ИСХОДНИК!$T$5,IF(VLOOKUP(T26,ИСХОДНИК!A:R,18,FALSE())=3,ИСХОДНИК!$T$6)))</f>
        <v>◑</v>
      </c>
    </row>
    <row r="27" spans="2:33" ht="21.75" customHeight="1">
      <c r="B27" s="97" t="s">
        <v>405</v>
      </c>
      <c r="C27" s="98" t="str">
        <f>VLOOKUP(B27,ИСХОДНИК!A:P,5,FALSE())</f>
        <v>FIA 125 G STR PN 40</v>
      </c>
      <c r="D27" s="105" t="s">
        <v>257</v>
      </c>
      <c r="E27" s="134" t="str">
        <f>VLOOKUP(B27,ИСХОДНИК!A:P,11,FALSE())</f>
        <v>Под сварку встык GOST</v>
      </c>
      <c r="F27" s="105">
        <f>VLOOKUP(B27,ИСХОДНИК!A:P,7,FALSE())</f>
        <v>125</v>
      </c>
      <c r="G27" s="137" t="str">
        <f>VLOOKUP(B27,ИСХОДНИК!A:P,10,FALSE())</f>
        <v>R717, R744 и фреоны</v>
      </c>
      <c r="H27" s="137">
        <f>VLOOKUP(B27,ИСХОДНИК!A:P,8,FALSE())</f>
        <v>40</v>
      </c>
      <c r="I27" s="137" t="str">
        <f>VLOOKUP(B27,ИСХОДНИК!A:P,9,FALSE())</f>
        <v xml:space="preserve"> -60…120</v>
      </c>
      <c r="J27" s="137" t="s">
        <v>387</v>
      </c>
      <c r="K27" s="137">
        <v>469.8</v>
      </c>
      <c r="L27" s="137">
        <v>484.1</v>
      </c>
      <c r="M27" s="137">
        <v>509</v>
      </c>
      <c r="N27" s="137">
        <v>250</v>
      </c>
      <c r="O27" s="105" t="str">
        <f>VLOOKUP(B27,ИСХОДНИК!A:P,15,FALSE())</f>
        <v>U6 PL40R</v>
      </c>
      <c r="P27" s="139">
        <f>VLOOKUP(B27,ИСХОДНИК!A:P,13,FALSE())</f>
        <v>354000</v>
      </c>
      <c r="Q27" s="139">
        <f>VLOOKUP(B27,ИСХОДНИК!A:P,14,FALSE())</f>
        <v>410640</v>
      </c>
      <c r="R27" s="140" t="str">
        <f>IF(VLOOKUP(B27,ИСХОДНИК!A:R,18,FALSE())=1,ИСХОДНИК!$T$2,IF(VLOOKUP(B27,ИСХОДНИК!A:R,18,FALSE())=2,ИСХОДНИК!$T$5,IF(VLOOKUP(B27,ИСХОДНИК!A:R,18,FALSE())=3,ИСХОДНИК!$T$6)))</f>
        <v>○</v>
      </c>
      <c r="T27" s="97" t="s">
        <v>406</v>
      </c>
      <c r="U27" s="98" t="str">
        <f>VLOOKUP(T27,ИСХОДНИК!A:P,7,FALSE())</f>
        <v>FIA 80</v>
      </c>
      <c r="V27" s="105" t="str">
        <f>VLOOKUP(T27,ИСХОДНИК!A:P,6,FALSE())</f>
        <v>150 мкм</v>
      </c>
      <c r="W27" s="105" t="str">
        <f>VLOOKUP(T27,ИСХОДНИК!A:P,15,FALSE())</f>
        <v>U6 PL40R</v>
      </c>
      <c r="X27" s="139">
        <f>VLOOKUP(T27,ИСХОДНИК!A:P,13,FALSE())</f>
        <v>54000</v>
      </c>
      <c r="Y27" s="139">
        <f>VLOOKUP(T27,ИСХОДНИК!A:P,14,FALSE())</f>
        <v>62639.999999999993</v>
      </c>
      <c r="Z27" s="104" t="str">
        <f>IF(VLOOKUP(T27,ИСХОДНИК!A:R,18,FALSE())=1,ИСХОДНИК!$T$2,IF(VLOOKUP(T27,ИСХОДНИК!A:R,18,FALSE())=2,ИСХОДНИК!$T$5,IF(VLOOKUP(T27,ИСХОДНИК!A:R,18,FALSE())=3,ИСХОДНИК!$T$6)))</f>
        <v>◑</v>
      </c>
    </row>
    <row r="28" spans="2:33" ht="21.75" customHeight="1">
      <c r="B28" s="97" t="s">
        <v>407</v>
      </c>
      <c r="C28" s="98" t="str">
        <f>VLOOKUP(B28,ИСХОДНИК!A:P,5,FALSE())</f>
        <v>FIA 150 D STR PN 52</v>
      </c>
      <c r="D28" s="105" t="s">
        <v>257</v>
      </c>
      <c r="E28" s="134" t="str">
        <f>VLOOKUP(B28,ИСХОДНИК!A:P,11,FALSE())</f>
        <v>Под сварку встык DIN</v>
      </c>
      <c r="F28" s="105">
        <f>VLOOKUP(B28,ИСХОДНИК!A:P,7,FALSE())</f>
        <v>150</v>
      </c>
      <c r="G28" s="137" t="str">
        <f>VLOOKUP(B28,ИСХОДНИК!A:P,10,FALSE())</f>
        <v>R717, R744 и фреоны</v>
      </c>
      <c r="H28" s="137">
        <f>VLOOKUP(B28,ИСХОДНИК!A:P,8,FALSE())</f>
        <v>52</v>
      </c>
      <c r="I28" s="137" t="str">
        <f>VLOOKUP(B28,ИСХОДНИК!A:P,9,FALSE())</f>
        <v xml:space="preserve"> -60…120</v>
      </c>
      <c r="J28" s="137" t="s">
        <v>387</v>
      </c>
      <c r="K28" s="137">
        <v>276.89999999999998</v>
      </c>
      <c r="L28" s="137">
        <v>285.39999999999998</v>
      </c>
      <c r="M28" s="137">
        <v>299.7</v>
      </c>
      <c r="N28" s="137">
        <v>250</v>
      </c>
      <c r="O28" s="105" t="str">
        <f>VLOOKUP(B28,ИСХОДНИК!A:P,15,FALSE())</f>
        <v>U6 PL40R</v>
      </c>
      <c r="P28" s="139">
        <f>VLOOKUP(B28,ИСХОДНИК!A:P,13,FALSE())</f>
        <v>594000</v>
      </c>
      <c r="Q28" s="139">
        <f>VLOOKUP(B28,ИСХОДНИК!A:P,14,FALSE())</f>
        <v>689040</v>
      </c>
      <c r="R28" s="140" t="str">
        <f>IF(VLOOKUP(B28,ИСХОДНИК!A:R,18,FALSE())=1,ИСХОДНИК!$T$2,IF(VLOOKUP(B28,ИСХОДНИК!A:R,18,FALSE())=2,ИСХОДНИК!$T$5,IF(VLOOKUP(B28,ИСХОДНИК!A:R,18,FALSE())=3,ИСХОДНИК!$T$6)))</f>
        <v>○</v>
      </c>
      <c r="T28" s="97" t="s">
        <v>408</v>
      </c>
      <c r="U28" s="98" t="str">
        <f>VLOOKUP(T28,ИСХОДНИК!A:P,7,FALSE())</f>
        <v>FIA 80</v>
      </c>
      <c r="V28" s="105" t="str">
        <f>VLOOKUP(T28,ИСХОДНИК!A:P,6,FALSE())</f>
        <v>250 мкм</v>
      </c>
      <c r="W28" s="105" t="str">
        <f>VLOOKUP(T28,ИСХОДНИК!A:P,15,FALSE())</f>
        <v>U6 PL40R</v>
      </c>
      <c r="X28" s="139">
        <f>VLOOKUP(T28,ИСХОДНИК!A:P,13,FALSE())</f>
        <v>54000</v>
      </c>
      <c r="Y28" s="139">
        <f>VLOOKUP(T28,ИСХОДНИК!A:P,14,FALSE())</f>
        <v>62639.999999999993</v>
      </c>
      <c r="Z28" s="104" t="str">
        <f>IF(VLOOKUP(T28,ИСХОДНИК!A:R,18,FALSE())=1,ИСХОДНИК!$T$2,IF(VLOOKUP(T28,ИСХОДНИК!A:R,18,FALSE())=2,ИСХОДНИК!$T$5,IF(VLOOKUP(T28,ИСХОДНИК!A:R,18,FALSE())=3,ИСХОДНИК!$T$6)))</f>
        <v>◑</v>
      </c>
    </row>
    <row r="29" spans="2:33" ht="21.75" customHeight="1">
      <c r="B29" s="97" t="s">
        <v>409</v>
      </c>
      <c r="C29" s="98" t="str">
        <f>VLOOKUP(B29,ИСХОДНИК!A:P,5,FALSE())</f>
        <v>FIA 150 G STR PN 52</v>
      </c>
      <c r="D29" s="105" t="s">
        <v>257</v>
      </c>
      <c r="E29" s="134" t="str">
        <f>VLOOKUP(B29,ИСХОДНИК!A:P,11,FALSE())</f>
        <v>Под сварку встык GOST</v>
      </c>
      <c r="F29" s="105">
        <f>VLOOKUP(B29,ИСХОДНИК!A:P,7,FALSE())</f>
        <v>150</v>
      </c>
      <c r="G29" s="137" t="str">
        <f>VLOOKUP(B29,ИСХОДНИК!A:P,10,FALSE())</f>
        <v>R717, R744 и фреоны</v>
      </c>
      <c r="H29" s="137">
        <f>VLOOKUP(B29,ИСХОДНИК!A:P,8,FALSE())</f>
        <v>52</v>
      </c>
      <c r="I29" s="137" t="str">
        <f>VLOOKUP(B29,ИСХОДНИК!A:P,9,FALSE())</f>
        <v xml:space="preserve"> -60…120</v>
      </c>
      <c r="J29" s="137" t="s">
        <v>387</v>
      </c>
      <c r="K29" s="137">
        <v>84</v>
      </c>
      <c r="L29" s="137">
        <v>86.7</v>
      </c>
      <c r="M29" s="137">
        <v>90.4</v>
      </c>
      <c r="N29" s="137">
        <v>250</v>
      </c>
      <c r="O29" s="105" t="str">
        <f>VLOOKUP(B29,ИСХОДНИК!A:P,15,FALSE())</f>
        <v>U6 PL40R</v>
      </c>
      <c r="P29" s="139">
        <f>VLOOKUP(B29,ИСХОДНИК!A:P,13,FALSE())</f>
        <v>594000</v>
      </c>
      <c r="Q29" s="139">
        <f>VLOOKUP(B29,ИСХОДНИК!A:P,14,FALSE())</f>
        <v>689040</v>
      </c>
      <c r="R29" s="140" t="str">
        <f>IF(VLOOKUP(B29,ИСХОДНИК!A:R,18,FALSE())=1,ИСХОДНИК!$T$2,IF(VLOOKUP(B29,ИСХОДНИК!A:R,18,FALSE())=2,ИСХОДНИК!$T$5,IF(VLOOKUP(B29,ИСХОДНИК!A:R,18,FALSE())=3,ИСХОДНИК!$T$6)))</f>
        <v>○</v>
      </c>
      <c r="T29" s="97" t="s">
        <v>410</v>
      </c>
      <c r="U29" s="98" t="str">
        <f>VLOOKUP(T29,ИСХОДНИК!A:P,7,FALSE())</f>
        <v>FIA 80</v>
      </c>
      <c r="V29" s="105" t="str">
        <f>VLOOKUP(T29,ИСХОДНИК!A:P,6,FALSE())</f>
        <v>500 мкм</v>
      </c>
      <c r="W29" s="105" t="str">
        <f>VLOOKUP(T29,ИСХОДНИК!A:P,15,FALSE())</f>
        <v>U6 PL40R</v>
      </c>
      <c r="X29" s="139">
        <f>VLOOKUP(T29,ИСХОДНИК!A:P,13,FALSE())</f>
        <v>54000</v>
      </c>
      <c r="Y29" s="139">
        <f>VLOOKUP(T29,ИСХОДНИК!A:P,14,FALSE())</f>
        <v>62639.999999999993</v>
      </c>
      <c r="Z29" s="104" t="str">
        <f>IF(VLOOKUP(T29,ИСХОДНИК!A:R,18,FALSE())=1,ИСХОДНИК!$T$2,IF(VLOOKUP(T29,ИСХОДНИК!A:R,18,FALSE())=2,ИСХОДНИК!$T$5,IF(VLOOKUP(T29,ИСХОДНИК!A:R,18,FALSE())=3,ИСХОДНИК!$T$6)))</f>
        <v>◑</v>
      </c>
    </row>
    <row r="30" spans="2:33" ht="21.75" customHeight="1">
      <c r="B30" s="97" t="s">
        <v>411</v>
      </c>
      <c r="C30" s="98" t="str">
        <f>VLOOKUP(B30,ИСХОДНИК!A:P,5,FALSE())</f>
        <v>FIA 150 D STR PN 40</v>
      </c>
      <c r="D30" s="105" t="s">
        <v>257</v>
      </c>
      <c r="E30" s="134" t="str">
        <f>VLOOKUP(B30,ИСХОДНИК!A:P,11,FALSE())</f>
        <v>Под сварку встык DIN</v>
      </c>
      <c r="F30" s="105">
        <f>VLOOKUP(B30,ИСХОДНИК!A:P,7,FALSE())</f>
        <v>150</v>
      </c>
      <c r="G30" s="137" t="str">
        <f>VLOOKUP(B30,ИСХОДНИК!A:P,10,FALSE())</f>
        <v>R717, R744 и фреоны</v>
      </c>
      <c r="H30" s="137">
        <f>VLOOKUP(B30,ИСХОДНИК!A:P,8,FALSE())</f>
        <v>40</v>
      </c>
      <c r="I30" s="137" t="str">
        <f>VLOOKUP(B30,ИСХОДНИК!A:P,9,FALSE())</f>
        <v xml:space="preserve"> -60…120</v>
      </c>
      <c r="J30" s="137" t="s">
        <v>387</v>
      </c>
      <c r="K30" s="137">
        <v>-108.9</v>
      </c>
      <c r="L30" s="137">
        <v>-112</v>
      </c>
      <c r="M30" s="137">
        <v>-118.9</v>
      </c>
      <c r="N30" s="137">
        <v>250</v>
      </c>
      <c r="O30" s="105" t="str">
        <f>VLOOKUP(B30,ИСХОДНИК!A:P,15,FALSE())</f>
        <v>U6 PL40R</v>
      </c>
      <c r="P30" s="139">
        <f>VLOOKUP(B30,ИСХОДНИК!A:P,13,FALSE())</f>
        <v>498000</v>
      </c>
      <c r="Q30" s="139">
        <f>VLOOKUP(B30,ИСХОДНИК!A:P,14,FALSE())</f>
        <v>577680</v>
      </c>
      <c r="R30" s="140" t="str">
        <f>IF(VLOOKUP(B30,ИСХОДНИК!A:R,18,FALSE())=1,ИСХОДНИК!$T$2,IF(VLOOKUP(B30,ИСХОДНИК!A:R,18,FALSE())=2,ИСХОДНИК!$T$5,IF(VLOOKUP(B30,ИСХОДНИК!A:R,18,FALSE())=3,ИСХОДНИК!$T$6)))</f>
        <v>○</v>
      </c>
      <c r="T30" s="97" t="s">
        <v>412</v>
      </c>
      <c r="U30" s="98" t="str">
        <f>VLOOKUP(T30,ИСХОДНИК!A:P,7,FALSE())</f>
        <v>FIA 100</v>
      </c>
      <c r="V30" s="105" t="str">
        <f>VLOOKUP(T30,ИСХОДНИК!A:P,6,FALSE())</f>
        <v>150 мкм</v>
      </c>
      <c r="W30" s="105" t="str">
        <f>VLOOKUP(T30,ИСХОДНИК!A:P,15,FALSE())</f>
        <v>U6 PL40R</v>
      </c>
      <c r="X30" s="139">
        <f>VLOOKUP(T30,ИСХОДНИК!A:P,13,FALSE())</f>
        <v>108000</v>
      </c>
      <c r="Y30" s="139">
        <f>VLOOKUP(T30,ИСХОДНИК!A:P,14,FALSE())</f>
        <v>125279.99999999999</v>
      </c>
      <c r="Z30" s="104" t="str">
        <f>IF(VLOOKUP(T30,ИСХОДНИК!A:R,18,FALSE())=1,ИСХОДНИК!$T$2,IF(VLOOKUP(T30,ИСХОДНИК!A:R,18,FALSE())=2,ИСХОДНИК!$T$5,IF(VLOOKUP(T30,ИСХОДНИК!A:R,18,FALSE())=3,ИСХОДНИК!$T$6)))</f>
        <v>◑</v>
      </c>
    </row>
    <row r="31" spans="2:33" ht="21.75" customHeight="1">
      <c r="B31" s="97" t="s">
        <v>413</v>
      </c>
      <c r="C31" s="98" t="str">
        <f>VLOOKUP(B31,ИСХОДНИК!A:P,5,FALSE())</f>
        <v>FIA 150 G STR PN 40</v>
      </c>
      <c r="D31" s="105" t="s">
        <v>257</v>
      </c>
      <c r="E31" s="134" t="str">
        <f>VLOOKUP(B31,ИСХОДНИК!A:P,11,FALSE())</f>
        <v>Под сварку встык GOST</v>
      </c>
      <c r="F31" s="105">
        <f>VLOOKUP(B31,ИСХОДНИК!A:P,7,FALSE())</f>
        <v>150</v>
      </c>
      <c r="G31" s="137" t="str">
        <f>VLOOKUP(B31,ИСХОДНИК!A:P,10,FALSE())</f>
        <v>R717, R744 и фреоны</v>
      </c>
      <c r="H31" s="137">
        <f>VLOOKUP(B31,ИСХОДНИК!A:P,8,FALSE())</f>
        <v>40</v>
      </c>
      <c r="I31" s="137" t="str">
        <f>VLOOKUP(B31,ИСХОДНИК!A:P,9,FALSE())</f>
        <v xml:space="preserve"> -60…120</v>
      </c>
      <c r="J31" s="137" t="s">
        <v>387</v>
      </c>
      <c r="K31" s="137">
        <v>-301.8</v>
      </c>
      <c r="L31" s="137">
        <v>-310.7</v>
      </c>
      <c r="M31" s="137">
        <v>-328.2</v>
      </c>
      <c r="N31" s="137">
        <v>250</v>
      </c>
      <c r="O31" s="105" t="str">
        <f>VLOOKUP(B31,ИСХОДНИК!A:P,15,FALSE())</f>
        <v>U6 PL40R</v>
      </c>
      <c r="P31" s="139">
        <f>VLOOKUP(B31,ИСХОДНИК!A:P,13,FALSE())</f>
        <v>498000</v>
      </c>
      <c r="Q31" s="139">
        <f>VLOOKUP(B31,ИСХОДНИК!A:P,14,FALSE())</f>
        <v>577680</v>
      </c>
      <c r="R31" s="140" t="str">
        <f>IF(VLOOKUP(B31,ИСХОДНИК!A:R,18,FALSE())=1,ИСХОДНИК!$T$2,IF(VLOOKUP(B31,ИСХОДНИК!A:R,18,FALSE())=2,ИСХОДНИК!$T$5,IF(VLOOKUP(B31,ИСХОДНИК!A:R,18,FALSE())=3,ИСХОДНИК!$T$6)))</f>
        <v>○</v>
      </c>
      <c r="T31" s="97" t="s">
        <v>414</v>
      </c>
      <c r="U31" s="98" t="str">
        <f>VLOOKUP(T31,ИСХОДНИК!A:P,7,FALSE())</f>
        <v>FIA 100</v>
      </c>
      <c r="V31" s="105" t="str">
        <f>VLOOKUP(T31,ИСХОДНИК!A:P,6,FALSE())</f>
        <v>250 мкм</v>
      </c>
      <c r="W31" s="105" t="str">
        <f>VLOOKUP(T31,ИСХОДНИК!A:P,15,FALSE())</f>
        <v>U6 PL40R</v>
      </c>
      <c r="X31" s="139">
        <f>VLOOKUP(T31,ИСХОДНИК!A:P,13,FALSE())</f>
        <v>108000</v>
      </c>
      <c r="Y31" s="139">
        <f>VLOOKUP(T31,ИСХОДНИК!A:P,14,FALSE())</f>
        <v>125279.99999999999</v>
      </c>
      <c r="Z31" s="104" t="str">
        <f>IF(VLOOKUP(T31,ИСХОДНИК!A:R,18,FALSE())=1,ИСХОДНИК!$T$2,IF(VLOOKUP(T31,ИСХОДНИК!A:R,18,FALSE())=2,ИСХОДНИК!$T$5,IF(VLOOKUP(T31,ИСХОДНИК!A:R,18,FALSE())=3,ИСХОДНИК!$T$6)))</f>
        <v>◑</v>
      </c>
    </row>
    <row r="32" spans="2:33" ht="21.75" customHeight="1">
      <c r="B32" s="97" t="s">
        <v>395</v>
      </c>
      <c r="C32" s="98" t="str">
        <f>VLOOKUP(B32,ИСХОДНИК!A:P,5,FALSE())</f>
        <v>FIA 100 D STR PN 40</v>
      </c>
      <c r="D32" s="105" t="s">
        <v>257</v>
      </c>
      <c r="E32" s="134" t="str">
        <f>VLOOKUP(B32,ИСХОДНИК!A:P,11,FALSE())</f>
        <v>Под сварку встык DIN</v>
      </c>
      <c r="F32" s="105">
        <f>VLOOKUP(B32,ИСХОДНИК!A:P,7,FALSE())</f>
        <v>100</v>
      </c>
      <c r="G32" s="137" t="str">
        <f>VLOOKUP(B32,ИСХОДНИК!A:P,10,FALSE())</f>
        <v>R717, R744 и фреоны</v>
      </c>
      <c r="H32" s="137">
        <f>VLOOKUP(B32,ИСХОДНИК!A:P,8,FALSE())</f>
        <v>40</v>
      </c>
      <c r="I32" s="137" t="str">
        <f>VLOOKUP(B32,ИСХОДНИК!A:P,9,FALSE())</f>
        <v xml:space="preserve"> -60…120</v>
      </c>
      <c r="J32" s="137" t="s">
        <v>387</v>
      </c>
      <c r="K32" s="137">
        <v>124.2</v>
      </c>
      <c r="L32" s="137">
        <v>128.1</v>
      </c>
      <c r="M32" s="137">
        <v>134.6</v>
      </c>
      <c r="N32" s="137">
        <v>250</v>
      </c>
      <c r="O32" s="105" t="str">
        <f>VLOOKUP(B32,ИСХОДНИК!A:P,15,FALSE())</f>
        <v>U6 PL40R</v>
      </c>
      <c r="P32" s="139">
        <f>VLOOKUP(B32,ИСХОДНИК!A:P,13,FALSE())</f>
        <v>210000</v>
      </c>
      <c r="Q32" s="139">
        <f>VLOOKUP(B32,ИСХОДНИК!A:P,14,FALSE())</f>
        <v>243599.99999999997</v>
      </c>
      <c r="R32" s="104" t="str">
        <f>IF(VLOOKUP(B32,ИСХОДНИК!A:R,18,FALSE())=1,ИСХОДНИК!$T$2,IF(VLOOKUP(B32,ИСХОДНИК!A:R,18,FALSE())=2,ИСХОДНИК!$T$5,IF(VLOOKUP(B32,ИСХОДНИК!A:R,18,FALSE())=3,ИСХОДНИК!$T$6)))</f>
        <v>◑</v>
      </c>
      <c r="T32" s="97" t="s">
        <v>415</v>
      </c>
      <c r="U32" s="98" t="str">
        <f>VLOOKUP(T32,ИСХОДНИК!A:P,7,FALSE())</f>
        <v>FIA 100</v>
      </c>
      <c r="V32" s="105" t="str">
        <f>VLOOKUP(T32,ИСХОДНИК!A:P,6,FALSE())</f>
        <v>500 мкм</v>
      </c>
      <c r="W32" s="105" t="str">
        <f>VLOOKUP(T32,ИСХОДНИК!A:P,15,FALSE())</f>
        <v>U6 PL40R</v>
      </c>
      <c r="X32" s="139">
        <f>VLOOKUP(T32,ИСХОДНИК!A:P,13,FALSE())</f>
        <v>108000</v>
      </c>
      <c r="Y32" s="139">
        <f>VLOOKUP(T32,ИСХОДНИК!A:P,14,FALSE())</f>
        <v>125279.99999999999</v>
      </c>
      <c r="Z32" s="140" t="str">
        <f>IF(VLOOKUP(T32,ИСХОДНИК!A:R,18,FALSE())=1,ИСХОДНИК!$T$2,IF(VLOOKUP(T32,ИСХОДНИК!A:R,18,FALSE())=2,ИСХОДНИК!$T$5,IF(VLOOKUP(T32,ИСХОДНИК!A:R,18,FALSE())=3,ИСХОДНИК!$T$6)))</f>
        <v>○</v>
      </c>
    </row>
    <row r="33" spans="2:26" ht="21.75" customHeight="1">
      <c r="B33" s="97" t="s">
        <v>403</v>
      </c>
      <c r="C33" s="98" t="str">
        <f>VLOOKUP(B33,ИСХОДНИК!A:P,5,FALSE())</f>
        <v>FIA 125 D STR PN 40</v>
      </c>
      <c r="D33" s="105" t="s">
        <v>257</v>
      </c>
      <c r="E33" s="134" t="str">
        <f>VLOOKUP(B33,ИСХОДНИК!A:P,11,FALSE())</f>
        <v>Под сварку встык DIN</v>
      </c>
      <c r="F33" s="105">
        <f>VLOOKUP(B33,ИСХОДНИК!A:P,7,FALSE())</f>
        <v>125</v>
      </c>
      <c r="G33" s="137" t="str">
        <f>VLOOKUP(B33,ИСХОДНИК!A:P,10,FALSE())</f>
        <v>R717, R744 и фреоны</v>
      </c>
      <c r="H33" s="137">
        <f>VLOOKUP(B33,ИСХОДНИК!A:P,8,FALSE())</f>
        <v>40</v>
      </c>
      <c r="I33" s="137" t="str">
        <f>VLOOKUP(B33,ИСХОДНИК!A:P,9,FALSE())</f>
        <v xml:space="preserve"> -60…120</v>
      </c>
      <c r="J33" s="137" t="s">
        <v>387</v>
      </c>
      <c r="K33" s="137">
        <v>210.6</v>
      </c>
      <c r="L33" s="137">
        <v>217.1</v>
      </c>
      <c r="M33" s="137">
        <v>228.2</v>
      </c>
      <c r="N33" s="137">
        <v>250</v>
      </c>
      <c r="O33" s="105" t="str">
        <f>VLOOKUP(B33,ИСХОДНИК!A:P,15,FALSE())</f>
        <v>U6 PL40R</v>
      </c>
      <c r="P33" s="139">
        <f>VLOOKUP(B33,ИСХОДНИК!A:P,13,FALSE())</f>
        <v>354000</v>
      </c>
      <c r="Q33" s="139">
        <f>VLOOKUP(B33,ИСХОДНИК!A:P,14,FALSE())</f>
        <v>410640</v>
      </c>
      <c r="R33" s="140" t="str">
        <f>IF(VLOOKUP(B33,ИСХОДНИК!A:R,18,FALSE())=1,ИСХОДНИК!$T$2,IF(VLOOKUP(B33,ИСХОДНИК!A:R,18,FALSE())=2,ИСХОДНИК!$T$5,IF(VLOOKUP(B33,ИСХОДНИК!A:R,18,FALSE())=3,ИСХОДНИК!$T$6)))</f>
        <v>○</v>
      </c>
      <c r="T33" s="97" t="s">
        <v>416</v>
      </c>
      <c r="U33" s="98" t="str">
        <f>VLOOKUP(T33,ИСХОДНИК!A:P,7,FALSE())</f>
        <v>FIA 125</v>
      </c>
      <c r="V33" s="105" t="str">
        <f>VLOOKUP(T33,ИСХОДНИК!A:P,6,FALSE())</f>
        <v>150 мкм</v>
      </c>
      <c r="W33" s="105" t="str">
        <f>VLOOKUP(T33,ИСХОДНИК!A:P,15,FALSE())</f>
        <v>U6 PL40R</v>
      </c>
      <c r="X33" s="139">
        <f>VLOOKUP(T33,ИСХОДНИК!A:P,13,FALSE())</f>
        <v>165000</v>
      </c>
      <c r="Y33" s="139">
        <f>VLOOKUP(T33,ИСХОДНИК!A:P,14,FALSE())</f>
        <v>191400</v>
      </c>
      <c r="Z33" s="104" t="str">
        <f>IF(VLOOKUP(T33,ИСХОДНИК!A:R,18,FALSE())=1,ИСХОДНИК!$T$2,IF(VLOOKUP(T33,ИСХОДНИК!A:R,18,FALSE())=2,ИСХОДНИК!$T$5,IF(VLOOKUP(T33,ИСХОДНИК!A:R,18,FALSE())=3,ИСХОДНИК!$T$6)))</f>
        <v>◑</v>
      </c>
    </row>
    <row r="34" spans="2:26" ht="21.75" customHeight="1">
      <c r="B34" s="97" t="s">
        <v>411</v>
      </c>
      <c r="C34" s="98" t="str">
        <f>VLOOKUP(B34,ИСХОДНИК!A:P,5,FALSE())</f>
        <v>FIA 150 D STR PN 40</v>
      </c>
      <c r="D34" s="105" t="s">
        <v>257</v>
      </c>
      <c r="E34" s="134" t="str">
        <f>VLOOKUP(B34,ИСХОДНИК!A:P,11,FALSE())</f>
        <v>Под сварку встык DIN</v>
      </c>
      <c r="F34" s="105">
        <f>VLOOKUP(B34,ИСХОДНИК!A:P,7,FALSE())</f>
        <v>150</v>
      </c>
      <c r="G34" s="137" t="str">
        <f>VLOOKUP(B34,ИСХОДНИК!A:P,10,FALSE())</f>
        <v>R717, R744 и фреоны</v>
      </c>
      <c r="H34" s="137">
        <f>VLOOKUP(B34,ИСХОДНИК!A:P,8,FALSE())</f>
        <v>40</v>
      </c>
      <c r="I34" s="137" t="str">
        <f>VLOOKUP(B34,ИСХОДНИК!A:P,9,FALSE())</f>
        <v xml:space="preserve"> -60…120</v>
      </c>
      <c r="J34" s="137" t="s">
        <v>387</v>
      </c>
      <c r="K34" s="137">
        <v>276.89999999999998</v>
      </c>
      <c r="L34" s="137">
        <v>285.39999999999998</v>
      </c>
      <c r="M34" s="137">
        <v>299.7</v>
      </c>
      <c r="N34" s="137">
        <v>250</v>
      </c>
      <c r="O34" s="105" t="str">
        <f>VLOOKUP(B34,ИСХОДНИК!A:P,15,FALSE())</f>
        <v>U6 PL40R</v>
      </c>
      <c r="P34" s="139">
        <f>VLOOKUP(B34,ИСХОДНИК!A:P,13,FALSE())</f>
        <v>498000</v>
      </c>
      <c r="Q34" s="139">
        <f>VLOOKUP(B34,ИСХОДНИК!A:P,14,FALSE())</f>
        <v>577680</v>
      </c>
      <c r="R34" s="140" t="str">
        <f>IF(VLOOKUP(B34,ИСХОДНИК!A:R,18,FALSE())=1,ИСХОДНИК!$T$2,IF(VLOOKUP(B34,ИСХОДНИК!A:R,18,FALSE())=2,ИСХОДНИК!$T$5,IF(VLOOKUP(B34,ИСХОДНИК!A:R,18,FALSE())=3,ИСХОДНИК!$T$6)))</f>
        <v>○</v>
      </c>
      <c r="T34" s="97" t="s">
        <v>417</v>
      </c>
      <c r="U34" s="98" t="str">
        <f>VLOOKUP(T34,ИСХОДНИК!A:P,7,FALSE())</f>
        <v>FIA 125</v>
      </c>
      <c r="V34" s="105" t="str">
        <f>VLOOKUP(T34,ИСХОДНИК!A:P,6,FALSE())</f>
        <v>250 мкм</v>
      </c>
      <c r="W34" s="105" t="str">
        <f>VLOOKUP(T34,ИСХОДНИК!A:P,15,FALSE())</f>
        <v>U6 PL40R</v>
      </c>
      <c r="X34" s="139">
        <f>VLOOKUP(T34,ИСХОДНИК!A:P,13,FALSE())</f>
        <v>165000</v>
      </c>
      <c r="Y34" s="139">
        <f>VLOOKUP(T34,ИСХОДНИК!A:P,14,FALSE())</f>
        <v>191400</v>
      </c>
      <c r="Z34" s="140" t="str">
        <f>IF(VLOOKUP(T34,ИСХОДНИК!A:R,18,FALSE())=1,ИСХОДНИК!$T$2,IF(VLOOKUP(T34,ИСХОДНИК!A:R,18,FALSE())=2,ИСХОДНИК!$T$5,IF(VLOOKUP(T34,ИСХОДНИК!A:R,18,FALSE())=3,ИСХОДНИК!$T$6)))</f>
        <v>○</v>
      </c>
    </row>
    <row r="35" spans="2:26" ht="21.75" customHeight="1">
      <c r="B35" s="97" t="s">
        <v>418</v>
      </c>
      <c r="C35" s="98" t="str">
        <f>VLOOKUP(B35,ИСХОДНИК!A:P,5,FALSE())</f>
        <v>FIA 200 D STR PN 40</v>
      </c>
      <c r="D35" s="105" t="s">
        <v>257</v>
      </c>
      <c r="E35" s="134" t="str">
        <f>VLOOKUP(B35,ИСХОДНИК!A:P,11,FALSE())</f>
        <v>Под сварку встык DIN</v>
      </c>
      <c r="F35" s="105">
        <f>VLOOKUP(B35,ИСХОДНИК!A:P,7,FALSE())</f>
        <v>200</v>
      </c>
      <c r="G35" s="137" t="str">
        <f>VLOOKUP(B35,ИСХОДНИК!A:P,10,FALSE())</f>
        <v>R717, R744 и фреоны</v>
      </c>
      <c r="H35" s="137">
        <f>VLOOKUP(B35,ИСХОДНИК!A:P,8,FALSE())</f>
        <v>40</v>
      </c>
      <c r="I35" s="137" t="str">
        <f>VLOOKUP(B35,ИСХОДНИК!A:P,9,FALSE())</f>
        <v xml:space="preserve"> -60…120</v>
      </c>
      <c r="J35" s="137"/>
      <c r="K35" s="137"/>
      <c r="L35" s="137"/>
      <c r="M35" s="105"/>
      <c r="N35" s="137">
        <v>250</v>
      </c>
      <c r="O35" s="105" t="str">
        <f>VLOOKUP(B35,ИСХОДНИК!A:P,15,FALSE())</f>
        <v>U6 PL40R</v>
      </c>
      <c r="P35" s="139">
        <f>VLOOKUP(B35,ИСХОДНИК!A:P,13,FALSE())</f>
        <v>870000</v>
      </c>
      <c r="Q35" s="139">
        <f>VLOOKUP(B35,ИСХОДНИК!A:P,14,FALSE())</f>
        <v>1009199.9999999999</v>
      </c>
      <c r="R35" s="140" t="str">
        <f>IF(VLOOKUP(B35,ИСХОДНИК!A:R,18,FALSE())=1,ИСХОДНИК!$T$2,IF(VLOOKUP(B35,ИСХОДНИК!A:R,18,FALSE())=2,ИСХОДНИК!$T$5,IF(VLOOKUP(B35,ИСХОДНИК!A:R,18,FALSE())=3,ИСХОДНИК!$T$6)))</f>
        <v>○</v>
      </c>
      <c r="T35" s="97" t="s">
        <v>419</v>
      </c>
      <c r="U35" s="98" t="str">
        <f>VLOOKUP(T35,ИСХОДНИК!A:P,7,FALSE())</f>
        <v>FIA 125</v>
      </c>
      <c r="V35" s="105" t="str">
        <f>VLOOKUP(T35,ИСХОДНИК!A:P,6,FALSE())</f>
        <v>500 мкм</v>
      </c>
      <c r="W35" s="105" t="str">
        <f>VLOOKUP(T35,ИСХОДНИК!A:P,15,FALSE())</f>
        <v>U6 PL40R</v>
      </c>
      <c r="X35" s="139">
        <f>VLOOKUP(T35,ИСХОДНИК!A:P,13,FALSE())</f>
        <v>165000</v>
      </c>
      <c r="Y35" s="139">
        <f>VLOOKUP(T35,ИСХОДНИК!A:P,14,FALSE())</f>
        <v>191400</v>
      </c>
      <c r="Z35" s="140" t="str">
        <f>IF(VLOOKUP(T35,ИСХОДНИК!A:R,18,FALSE())=1,ИСХОДНИК!$T$2,IF(VLOOKUP(T35,ИСХОДНИК!A:R,18,FALSE())=2,ИСХОДНИК!$T$5,IF(VLOOKUP(T35,ИСХОДНИК!A:R,18,FALSE())=3,ИСХОДНИК!$T$6)))</f>
        <v>○</v>
      </c>
    </row>
    <row r="36" spans="2:26" ht="21.75" customHeight="1">
      <c r="B36" s="97" t="s">
        <v>420</v>
      </c>
      <c r="C36" s="98" t="str">
        <f>VLOOKUP(B36,ИСХОДНИК!A:P,5,FALSE())</f>
        <v>FIA 250 D STR PN 40</v>
      </c>
      <c r="D36" s="105" t="s">
        <v>257</v>
      </c>
      <c r="E36" s="134" t="str">
        <f>VLOOKUP(B36,ИСХОДНИК!A:P,11,FALSE())</f>
        <v>Под сварку встык DIN</v>
      </c>
      <c r="F36" s="105">
        <f>VLOOKUP(B36,ИСХОДНИК!A:P,7,FALSE())</f>
        <v>250</v>
      </c>
      <c r="G36" s="137" t="str">
        <f>VLOOKUP(B36,ИСХОДНИК!A:P,10,FALSE())</f>
        <v>R717, R744 и фреоны</v>
      </c>
      <c r="H36" s="137">
        <f>VLOOKUP(B36,ИСХОДНИК!A:P,8,FALSE())</f>
        <v>40</v>
      </c>
      <c r="I36" s="137" t="str">
        <f>VLOOKUP(B36,ИСХОДНИК!A:P,9,FALSE())</f>
        <v xml:space="preserve"> -60…120</v>
      </c>
      <c r="J36" s="137"/>
      <c r="K36" s="137"/>
      <c r="L36" s="137"/>
      <c r="M36" s="105"/>
      <c r="N36" s="137">
        <v>250</v>
      </c>
      <c r="O36" s="105" t="str">
        <f>VLOOKUP(B36,ИСХОДНИК!A:P,15,FALSE())</f>
        <v>PR PL40R-Project</v>
      </c>
      <c r="P36" s="139">
        <f>VLOOKUP(B36,ИСХОДНИК!A:P,13,FALSE())</f>
        <v>1500000</v>
      </c>
      <c r="Q36" s="139">
        <f>VLOOKUP(B36,ИСХОДНИК!A:P,14,FALSE())</f>
        <v>1739999.9999999998</v>
      </c>
      <c r="R36" s="140" t="str">
        <f>IF(VLOOKUP(B36,ИСХОДНИК!A:R,18,FALSE())=1,ИСХОДНИК!$T$2,IF(VLOOKUP(B36,ИСХОДНИК!A:R,18,FALSE())=2,ИСХОДНИК!$T$5,IF(VLOOKUP(B36,ИСХОДНИК!A:R,18,FALSE())=3,ИСХОДНИК!$T$6)))</f>
        <v>○</v>
      </c>
      <c r="T36" s="97" t="s">
        <v>421</v>
      </c>
      <c r="U36" s="98" t="str">
        <f>VLOOKUP(T36,ИСХОДНИК!A:P,7,FALSE())</f>
        <v>FIA 150</v>
      </c>
      <c r="V36" s="105" t="str">
        <f>VLOOKUP(T36,ИСХОДНИК!A:P,6,FALSE())</f>
        <v>150 мкм</v>
      </c>
      <c r="W36" s="105" t="str">
        <f>VLOOKUP(T36,ИСХОДНИК!A:P,15,FALSE())</f>
        <v>U6 PL40R</v>
      </c>
      <c r="X36" s="139">
        <f>VLOOKUP(T36,ИСХОДНИК!A:P,13,FALSE())</f>
        <v>213000</v>
      </c>
      <c r="Y36" s="139">
        <f>VLOOKUP(T36,ИСХОДНИК!A:P,14,FALSE())</f>
        <v>247079.99999999997</v>
      </c>
      <c r="Z36" s="140" t="str">
        <f>IF(VLOOKUP(T36,ИСХОДНИК!A:R,18,FALSE())=1,ИСХОДНИК!$T$2,IF(VLOOKUP(T36,ИСХОДНИК!A:R,18,FALSE())=2,ИСХОДНИК!$T$5,IF(VLOOKUP(T36,ИСХОДНИК!A:R,18,FALSE())=3,ИСХОДНИК!$T$6)))</f>
        <v>○</v>
      </c>
    </row>
    <row r="37" spans="2:26" ht="21.75" customHeight="1">
      <c r="B37" s="522" t="s">
        <v>422</v>
      </c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T37" s="97" t="s">
        <v>423</v>
      </c>
      <c r="U37" s="98" t="str">
        <f>VLOOKUP(T37,ИСХОДНИК!A:P,7,FALSE())</f>
        <v>FIA 150</v>
      </c>
      <c r="V37" s="105" t="str">
        <f>VLOOKUP(T37,ИСХОДНИК!A:P,6,FALSE())</f>
        <v>250 мкм</v>
      </c>
      <c r="W37" s="105" t="str">
        <f>VLOOKUP(T37,ИСХОДНИК!A:P,15,FALSE())</f>
        <v>U6 PL40R</v>
      </c>
      <c r="X37" s="139">
        <f>VLOOKUP(T37,ИСХОДНИК!A:P,13,FALSE())</f>
        <v>213000</v>
      </c>
      <c r="Y37" s="139">
        <f>VLOOKUP(T37,ИСХОДНИК!A:P,14,FALSE())</f>
        <v>247079.99999999997</v>
      </c>
      <c r="Z37" s="140" t="str">
        <f>IF(VLOOKUP(T37,ИСХОДНИК!A:R,18,FALSE())=1,ИСХОДНИК!$T$2,IF(VLOOKUP(T37,ИСХОДНИК!A:R,18,FALSE())=2,ИСХОДНИК!$T$5,IF(VLOOKUP(T37,ИСХОДНИК!A:R,18,FALSE())=3,ИСХОДНИК!$T$6)))</f>
        <v>○</v>
      </c>
    </row>
    <row r="38" spans="2:26" ht="21.75" customHeight="1">
      <c r="B38" s="97" t="s">
        <v>424</v>
      </c>
      <c r="C38" s="98" t="str">
        <f>VLOOKUP(B38,ИСХОДНИК!A:P,5,FALSE())</f>
        <v>FIA 15 D ANG PN 52</v>
      </c>
      <c r="D38" s="105" t="s">
        <v>267</v>
      </c>
      <c r="E38" s="134" t="str">
        <f>VLOOKUP(B38,ИСХОДНИК!A:P,11,FALSE())</f>
        <v>Под сварку встык DIN</v>
      </c>
      <c r="F38" s="105">
        <f>VLOOKUP(B38,ИСХОДНИК!A:P,7,FALSE())</f>
        <v>15</v>
      </c>
      <c r="G38" s="137" t="str">
        <f>VLOOKUP(B38,ИСХОДНИК!A:P,10,FALSE())</f>
        <v>R717, R744 и фреоны</v>
      </c>
      <c r="H38" s="137">
        <f>VLOOKUP(B38,ИСХОДНИК!A:P,8,FALSE())</f>
        <v>52</v>
      </c>
      <c r="I38" s="137" t="str">
        <f>VLOOKUP(B38,ИСХОДНИК!A:P,9,FALSE())</f>
        <v xml:space="preserve"> -60…120</v>
      </c>
      <c r="J38" s="137">
        <v>3.3</v>
      </c>
      <c r="K38" s="137">
        <v>3.4</v>
      </c>
      <c r="L38" s="137">
        <v>3.5</v>
      </c>
      <c r="M38" s="137">
        <v>3.7</v>
      </c>
      <c r="N38" s="137">
        <v>150</v>
      </c>
      <c r="O38" s="105" t="str">
        <f>VLOOKUP(B38,ИСХОДНИК!A:P,15,FALSE())</f>
        <v>U6 PL40R</v>
      </c>
      <c r="P38" s="139">
        <f>VLOOKUP(B38,ИСХОДНИК!A:P,13,FALSE())</f>
        <v>27000</v>
      </c>
      <c r="Q38" s="139">
        <f>VLOOKUP(B38,ИСХОДНИК!A:P,14,FALSE())</f>
        <v>31319.999999999996</v>
      </c>
      <c r="R38" s="140" t="str">
        <f>IF(VLOOKUP(B38,ИСХОДНИК!A:R,18,FALSE())=1,ИСХОДНИК!$T$2,IF(VLOOKUP(B38,ИСХОДНИК!A:R,18,FALSE())=2,ИСХОДНИК!$T$5,IF(VLOOKUP(B38,ИСХОДНИК!A:R,18,FALSE())=3,ИСХОДНИК!$T$6)))</f>
        <v>○</v>
      </c>
      <c r="T38" s="97" t="s">
        <v>425</v>
      </c>
      <c r="U38" s="98" t="str">
        <f>VLOOKUP(T38,ИСХОДНИК!A:P,7,FALSE())</f>
        <v>FIA 150</v>
      </c>
      <c r="V38" s="105" t="str">
        <f>VLOOKUP(T38,ИСХОДНИК!A:P,6,FALSE())</f>
        <v>500 мкм</v>
      </c>
      <c r="W38" s="105" t="str">
        <f>VLOOKUP(T38,ИСХОДНИК!A:P,15,FALSE())</f>
        <v>U6 PL40R</v>
      </c>
      <c r="X38" s="139">
        <f>VLOOKUP(T38,ИСХОДНИК!A:P,13,FALSE())</f>
        <v>213000</v>
      </c>
      <c r="Y38" s="139">
        <f>VLOOKUP(T38,ИСХОДНИК!A:P,14,FALSE())</f>
        <v>247079.99999999997</v>
      </c>
      <c r="Z38" s="104" t="str">
        <f>IF(VLOOKUP(T38,ИСХОДНИК!A:R,18,FALSE())=1,ИСХОДНИК!$T$2,IF(VLOOKUP(T38,ИСХОДНИК!A:R,18,FALSE())=2,ИСХОДНИК!$T$5,IF(VLOOKUP(T38,ИСХОДНИК!A:R,18,FALSE())=3,ИСХОДНИК!$T$6)))</f>
        <v>◑</v>
      </c>
    </row>
    <row r="39" spans="2:26" ht="21.75" customHeight="1">
      <c r="B39" s="97" t="s">
        <v>426</v>
      </c>
      <c r="C39" s="196" t="str">
        <f>VLOOKUP(B39,ИСХОДНИК!A:P,5,FALSE())</f>
        <v>FIA 20 D ANG PN 52</v>
      </c>
      <c r="D39" s="105" t="s">
        <v>267</v>
      </c>
      <c r="E39" s="197" t="str">
        <f>VLOOKUP(B39,ИСХОДНИК!A:P,11,FALSE())</f>
        <v>Под сварку встык DIN</v>
      </c>
      <c r="F39" s="182">
        <f>VLOOKUP(B39,ИСХОДНИК!A:P,7,FALSE())</f>
        <v>20</v>
      </c>
      <c r="G39" s="137" t="str">
        <f>VLOOKUP(B39,ИСХОДНИК!A:P,10,FALSE())</f>
        <v>R717, R744 и фреоны</v>
      </c>
      <c r="H39" s="181">
        <f>VLOOKUP(B39,ИСХОДНИК!A:P,8,FALSE())</f>
        <v>52</v>
      </c>
      <c r="I39" s="137" t="str">
        <f>VLOOKUP(B39,ИСХОДНИК!A:P,9,FALSE())</f>
        <v xml:space="preserve"> -60…120</v>
      </c>
      <c r="J39" s="137">
        <v>6.9</v>
      </c>
      <c r="K39" s="137">
        <v>7.1</v>
      </c>
      <c r="L39" s="137">
        <v>7.3</v>
      </c>
      <c r="M39" s="137">
        <v>7.7</v>
      </c>
      <c r="N39" s="137">
        <v>150</v>
      </c>
      <c r="O39" s="182" t="str">
        <f>VLOOKUP(B39,ИСХОДНИК!A:P,15,FALSE())</f>
        <v>U6 PL40R</v>
      </c>
      <c r="P39" s="139">
        <f>VLOOKUP(B39,ИСХОДНИК!A:P,13,FALSE())</f>
        <v>30600</v>
      </c>
      <c r="Q39" s="139">
        <f>VLOOKUP(B39,ИСХОДНИК!A:P,14,FALSE())</f>
        <v>35496</v>
      </c>
      <c r="R39" s="140" t="str">
        <f>IF(VLOOKUP(B39,ИСХОДНИК!A:R,18,FALSE())=1,ИСХОДНИК!$T$2,IF(VLOOKUP(B39,ИСХОДНИК!A:R,18,FALSE())=2,ИСХОДНИК!$T$5,IF(VLOOKUP(B39,ИСХОДНИК!A:R,18,FALSE())=3,ИСХОДНИК!$T$6)))</f>
        <v>○</v>
      </c>
      <c r="T39" s="97" t="s">
        <v>427</v>
      </c>
      <c r="U39" s="98" t="str">
        <f>VLOOKUP(T39,ИСХОДНИК!A:P,7,FALSE())</f>
        <v>FIA 200</v>
      </c>
      <c r="V39" s="105" t="str">
        <f>VLOOKUP(T39,ИСХОДНИК!A:P,6,FALSE())</f>
        <v>150 мкм</v>
      </c>
      <c r="W39" s="105" t="str">
        <f>VLOOKUP(T39,ИСХОДНИК!A:P,15,FALSE())</f>
        <v>U6 PL40R</v>
      </c>
      <c r="X39" s="139">
        <f>VLOOKUP(T39,ИСХОДНИК!A:P,13,FALSE())</f>
        <v>294000</v>
      </c>
      <c r="Y39" s="139">
        <f>VLOOKUP(T39,ИСХОДНИК!A:P,14,FALSE())</f>
        <v>341040</v>
      </c>
      <c r="Z39" s="140" t="str">
        <f>IF(VLOOKUP(T39,ИСХОДНИК!A:R,18,FALSE())=1,ИСХОДНИК!$T$2,IF(VLOOKUP(T39,ИСХОДНИК!A:R,18,FALSE())=2,ИСХОДНИК!$T$5,IF(VLOOKUP(T39,ИСХОДНИК!A:R,18,FALSE())=3,ИСХОДНИК!$T$6)))</f>
        <v>○</v>
      </c>
    </row>
    <row r="40" spans="2:26" ht="21.75" customHeight="1">
      <c r="B40" s="97" t="s">
        <v>428</v>
      </c>
      <c r="C40" s="196" t="str">
        <f>VLOOKUP(B40,ИСХОДНИК!A:P,5,FALSE())</f>
        <v>FIA 25 D ANG PN 52</v>
      </c>
      <c r="D40" s="105" t="s">
        <v>267</v>
      </c>
      <c r="E40" s="197" t="str">
        <f>VLOOKUP(B40,ИСХОДНИК!A:P,11,FALSE())</f>
        <v>Под сварку встык DIN</v>
      </c>
      <c r="F40" s="182">
        <f>VLOOKUP(B40,ИСХОДНИК!A:P,7,FALSE())</f>
        <v>25</v>
      </c>
      <c r="G40" s="137" t="str">
        <f>VLOOKUP(B40,ИСХОДНИК!A:P,10,FALSE())</f>
        <v>R717, R744 и фреоны</v>
      </c>
      <c r="H40" s="181">
        <f>VLOOKUP(B40,ИСХОДНИК!A:P,8,FALSE())</f>
        <v>52</v>
      </c>
      <c r="I40" s="137" t="str">
        <f>VLOOKUP(B40,ИСХОДНИК!A:P,9,FALSE())</f>
        <v xml:space="preserve"> -60…120</v>
      </c>
      <c r="J40" s="137">
        <v>13.8</v>
      </c>
      <c r="K40" s="137">
        <v>14</v>
      </c>
      <c r="L40" s="137">
        <v>14.5</v>
      </c>
      <c r="M40" s="137">
        <v>15.2</v>
      </c>
      <c r="N40" s="137">
        <v>150</v>
      </c>
      <c r="O40" s="182" t="str">
        <f>VLOOKUP(B40,ИСХОДНИК!A:P,15,FALSE())</f>
        <v>U6 PL40R</v>
      </c>
      <c r="P40" s="139">
        <f>VLOOKUP(B40,ИСХОДНИК!A:P,13,FALSE())</f>
        <v>37200</v>
      </c>
      <c r="Q40" s="139">
        <f>VLOOKUP(B40,ИСХОДНИК!A:P,14,FALSE())</f>
        <v>43152</v>
      </c>
      <c r="R40" s="140" t="str">
        <f>IF(VLOOKUP(B40,ИСХОДНИК!A:R,18,FALSE())=1,ИСХОДНИК!$T$2,IF(VLOOKUP(B40,ИСХОДНИК!A:R,18,FALSE())=2,ИСХОДНИК!$T$5,IF(VLOOKUP(B40,ИСХОДНИК!A:R,18,FALSE())=3,ИСХОДНИК!$T$6)))</f>
        <v>○</v>
      </c>
      <c r="T40" s="97" t="s">
        <v>429</v>
      </c>
      <c r="U40" s="98" t="str">
        <f>VLOOKUP(T40,ИСХОДНИК!A:P,7,FALSE())</f>
        <v>FIA 200</v>
      </c>
      <c r="V40" s="105" t="str">
        <f>VLOOKUP(T40,ИСХОДНИК!A:P,6,FALSE())</f>
        <v>250 мкм</v>
      </c>
      <c r="W40" s="105" t="str">
        <f>VLOOKUP(T40,ИСХОДНИК!A:P,15,FALSE())</f>
        <v>U6 PL40R</v>
      </c>
      <c r="X40" s="139">
        <f>VLOOKUP(T40,ИСХОДНИК!A:P,13,FALSE())</f>
        <v>294000</v>
      </c>
      <c r="Y40" s="139">
        <f>VLOOKUP(T40,ИСХОДНИК!A:P,14,FALSE())</f>
        <v>341040</v>
      </c>
      <c r="Z40" s="140" t="str">
        <f>IF(VLOOKUP(T40,ИСХОДНИК!A:R,18,FALSE())=1,ИСХОДНИК!$T$2,IF(VLOOKUP(T40,ИСХОДНИК!A:R,18,FALSE())=2,ИСХОДНИК!$T$5,IF(VLOOKUP(T40,ИСХОДНИК!A:R,18,FALSE())=3,ИСХОДНИК!$T$6)))</f>
        <v>○</v>
      </c>
    </row>
    <row r="41" spans="2:26" ht="21.75" customHeight="1">
      <c r="B41" s="97" t="s">
        <v>430</v>
      </c>
      <c r="C41" s="196" t="str">
        <f>VLOOKUP(B41,ИСХОДНИК!A:P,5,FALSE())</f>
        <v>FIA 32 D ANG PN 52</v>
      </c>
      <c r="D41" s="105" t="s">
        <v>267</v>
      </c>
      <c r="E41" s="197" t="str">
        <f>VLOOKUP(B41,ИСХОДНИК!A:P,11,FALSE())</f>
        <v>Под сварку встык DIN</v>
      </c>
      <c r="F41" s="182">
        <f>VLOOKUP(B41,ИСХОДНИК!A:P,7,FALSE())</f>
        <v>32</v>
      </c>
      <c r="G41" s="137" t="str">
        <f>VLOOKUP(B41,ИСХОДНИК!A:P,10,FALSE())</f>
        <v>R717, R744 и фреоны</v>
      </c>
      <c r="H41" s="181">
        <f>VLOOKUP(B41,ИСХОДНИК!A:P,8,FALSE())</f>
        <v>52</v>
      </c>
      <c r="I41" s="137" t="str">
        <f>VLOOKUP(B41,ИСХОДНИК!A:P,9,FALSE())</f>
        <v xml:space="preserve"> -60…120</v>
      </c>
      <c r="J41" s="137">
        <v>23</v>
      </c>
      <c r="K41" s="137">
        <v>23.8</v>
      </c>
      <c r="L41" s="137">
        <v>24.7</v>
      </c>
      <c r="M41" s="137">
        <v>25.5</v>
      </c>
      <c r="N41" s="137">
        <v>150</v>
      </c>
      <c r="O41" s="182" t="str">
        <f>VLOOKUP(B41,ИСХОДНИК!A:P,15,FALSE())</f>
        <v>U6 PL40R</v>
      </c>
      <c r="P41" s="139">
        <f>VLOOKUP(B41,ИСХОДНИК!A:P,13,FALSE())</f>
        <v>48000</v>
      </c>
      <c r="Q41" s="139">
        <f>VLOOKUP(B41,ИСХОДНИК!A:P,14,FALSE())</f>
        <v>55679.999999999993</v>
      </c>
      <c r="R41" s="140" t="str">
        <f>IF(VLOOKUP(B41,ИСХОДНИК!A:R,18,FALSE())=1,ИСХОДНИК!$T$2,IF(VLOOKUP(B41,ИСХОДНИК!A:R,18,FALSE())=2,ИСХОДНИК!$T$5,IF(VLOOKUP(B41,ИСХОДНИК!A:R,18,FALSE())=3,ИСХОДНИК!$T$6)))</f>
        <v>○</v>
      </c>
      <c r="T41" s="97" t="s">
        <v>431</v>
      </c>
      <c r="U41" s="98" t="str">
        <f>VLOOKUP(T41,ИСХОДНИК!A:P,7,FALSE())</f>
        <v>FIA 200</v>
      </c>
      <c r="V41" s="105" t="str">
        <f>VLOOKUP(T41,ИСХОДНИК!A:P,6,FALSE())</f>
        <v>500 мкм</v>
      </c>
      <c r="W41" s="105" t="str">
        <f>VLOOKUP(T41,ИСХОДНИК!A:P,15,FALSE())</f>
        <v>U6 PL40R</v>
      </c>
      <c r="X41" s="139">
        <f>VLOOKUP(T41,ИСХОДНИК!A:P,13,FALSE())</f>
        <v>294000</v>
      </c>
      <c r="Y41" s="139">
        <f>VLOOKUP(T41,ИСХОДНИК!A:P,14,FALSE())</f>
        <v>341040</v>
      </c>
      <c r="Z41" s="140" t="str">
        <f>IF(VLOOKUP(T41,ИСХОДНИК!A:R,18,FALSE())=1,ИСХОДНИК!$T$2,IF(VLOOKUP(T41,ИСХОДНИК!A:R,18,FALSE())=2,ИСХОДНИК!$T$5,IF(VLOOKUP(T41,ИСХОДНИК!A:R,18,FALSE())=3,ИСХОДНИК!$T$6)))</f>
        <v>○</v>
      </c>
    </row>
    <row r="42" spans="2:26" ht="21.75" customHeight="1">
      <c r="B42" s="97" t="s">
        <v>432</v>
      </c>
      <c r="C42" s="196" t="str">
        <f>VLOOKUP(B42,ИСХОДНИК!A:P,5,FALSE())</f>
        <v>FIA 40 D ANG PN 52</v>
      </c>
      <c r="D42" s="105" t="s">
        <v>267</v>
      </c>
      <c r="E42" s="197" t="str">
        <f>VLOOKUP(B42,ИСХОДНИК!A:P,11,FALSE())</f>
        <v>Под сварку встык DIN</v>
      </c>
      <c r="F42" s="182">
        <f>VLOOKUP(B42,ИСХОДНИК!A:P,7,FALSE())</f>
        <v>40</v>
      </c>
      <c r="G42" s="137" t="str">
        <f>VLOOKUP(B42,ИСХОДНИК!A:P,10,FALSE())</f>
        <v>R717, R744 и фреоны</v>
      </c>
      <c r="H42" s="181">
        <f>VLOOKUP(B42,ИСХОДНИК!A:P,8,FALSE())</f>
        <v>52</v>
      </c>
      <c r="I42" s="137" t="str">
        <f>VLOOKUP(B42,ИСХОДНИК!A:P,9,FALSE())</f>
        <v xml:space="preserve"> -60…120</v>
      </c>
      <c r="J42" s="137">
        <v>25.1</v>
      </c>
      <c r="K42" s="137">
        <v>25.5</v>
      </c>
      <c r="L42" s="137">
        <v>26.4</v>
      </c>
      <c r="M42" s="137">
        <v>28.2</v>
      </c>
      <c r="N42" s="137">
        <v>150</v>
      </c>
      <c r="O42" s="182" t="str">
        <f>VLOOKUP(B42,ИСХОДНИК!A:P,15,FALSE())</f>
        <v>U6 PL40R</v>
      </c>
      <c r="P42" s="139">
        <f>VLOOKUP(B42,ИСХОДНИК!A:P,13,FALSE())</f>
        <v>63600</v>
      </c>
      <c r="Q42" s="139">
        <f>VLOOKUP(B42,ИСХОДНИК!A:P,14,FALSE())</f>
        <v>73776</v>
      </c>
      <c r="R42" s="140" t="str">
        <f>IF(VLOOKUP(B42,ИСХОДНИК!A:R,18,FALSE())=1,ИСХОДНИК!$T$2,IF(VLOOKUP(B42,ИСХОДНИК!A:R,18,FALSE())=2,ИСХОДНИК!$T$5,IF(VLOOKUP(B42,ИСХОДНИК!A:R,18,FALSE())=3,ИСХОДНИК!$T$6)))</f>
        <v>○</v>
      </c>
      <c r="T42" s="97" t="s">
        <v>433</v>
      </c>
      <c r="U42" s="98" t="str">
        <f>VLOOKUP(T42,ИСХОДНИК!A:P,7,FALSE())</f>
        <v>FIA 250</v>
      </c>
      <c r="V42" s="105" t="str">
        <f>VLOOKUP(T42,ИСХОДНИК!A:P,6,FALSE())</f>
        <v>150 мкм</v>
      </c>
      <c r="W42" s="105" t="str">
        <f>VLOOKUP(T42,ИСХОДНИК!A:P,15,FALSE())</f>
        <v>U6 PL40R</v>
      </c>
      <c r="X42" s="139">
        <f>VLOOKUP(T42,ИСХОДНИК!A:P,13,FALSE())</f>
        <v>480000</v>
      </c>
      <c r="Y42" s="139">
        <f>VLOOKUP(T42,ИСХОДНИК!A:P,14,FALSE())</f>
        <v>556800</v>
      </c>
      <c r="Z42" s="140" t="str">
        <f>IF(VLOOKUP(T42,ИСХОДНИК!A:R,18,FALSE())=1,ИСХОДНИК!$T$2,IF(VLOOKUP(T42,ИСХОДНИК!A:R,18,FALSE())=2,ИСХОДНИК!$T$5,IF(VLOOKUP(T42,ИСХОДНИК!A:R,18,FALSE())=3,ИСХОДНИК!$T$6)))</f>
        <v>○</v>
      </c>
    </row>
    <row r="43" spans="2:26" ht="21.75" customHeight="1">
      <c r="B43" s="97" t="s">
        <v>434</v>
      </c>
      <c r="C43" s="196" t="str">
        <f>VLOOKUP(B43,ИСХОДНИК!A:P,5,FALSE())</f>
        <v>FIA 50 D ANG PN 52</v>
      </c>
      <c r="D43" s="105" t="s">
        <v>267</v>
      </c>
      <c r="E43" s="197" t="str">
        <f>VLOOKUP(B43,ИСХОДНИК!A:P,11,FALSE())</f>
        <v>Под сварку встык DIN</v>
      </c>
      <c r="F43" s="182">
        <f>VLOOKUP(B43,ИСХОДНИК!A:P,7,FALSE())</f>
        <v>50</v>
      </c>
      <c r="G43" s="137" t="str">
        <f>VLOOKUP(B43,ИСХОДНИК!A:P,10,FALSE())</f>
        <v>R717, R744 и фреоны</v>
      </c>
      <c r="H43" s="181">
        <f>VLOOKUP(B43,ИСХОДНИК!A:P,8,FALSE())</f>
        <v>52</v>
      </c>
      <c r="I43" s="137" t="str">
        <f>VLOOKUP(B43,ИСХОДНИК!A:P,9,FALSE())</f>
        <v xml:space="preserve"> -60…120</v>
      </c>
      <c r="J43" s="137">
        <v>45.1</v>
      </c>
      <c r="K43" s="137">
        <v>45.9</v>
      </c>
      <c r="L43" s="137">
        <v>47.6</v>
      </c>
      <c r="M43" s="137">
        <v>50.2</v>
      </c>
      <c r="N43" s="137">
        <v>150</v>
      </c>
      <c r="O43" s="182" t="str">
        <f>VLOOKUP(B43,ИСХОДНИК!A:P,15,FALSE())</f>
        <v>U6 PL40R</v>
      </c>
      <c r="P43" s="139">
        <f>VLOOKUP(B43,ИСХОДНИК!A:P,13,FALSE())</f>
        <v>78000</v>
      </c>
      <c r="Q43" s="139">
        <f>VLOOKUP(B43,ИСХОДНИК!A:P,14,FALSE())</f>
        <v>90480</v>
      </c>
      <c r="R43" s="140" t="str">
        <f>IF(VLOOKUP(B43,ИСХОДНИК!A:R,18,FALSE())=1,ИСХОДНИК!$T$2,IF(VLOOKUP(B43,ИСХОДНИК!A:R,18,FALSE())=2,ИСХОДНИК!$T$5,IF(VLOOKUP(B43,ИСХОДНИК!A:R,18,FALSE())=3,ИСХОДНИК!$T$6)))</f>
        <v>○</v>
      </c>
      <c r="T43" s="97" t="s">
        <v>435</v>
      </c>
      <c r="U43" s="98" t="str">
        <f>VLOOKUP(T43,ИСХОДНИК!A:P,7,FALSE())</f>
        <v>FIA 250</v>
      </c>
      <c r="V43" s="105" t="str">
        <f>VLOOKUP(T43,ИСХОДНИК!A:P,6,FALSE())</f>
        <v>250 мкм</v>
      </c>
      <c r="W43" s="105" t="str">
        <f>VLOOKUP(T43,ИСХОДНИК!A:P,15,FALSE())</f>
        <v>U6 PL40R</v>
      </c>
      <c r="X43" s="139">
        <f>VLOOKUP(T43,ИСХОДНИК!A:P,13,FALSE())</f>
        <v>480000</v>
      </c>
      <c r="Y43" s="139">
        <f>VLOOKUP(T43,ИСХОДНИК!A:P,14,FALSE())</f>
        <v>556800</v>
      </c>
      <c r="Z43" s="140" t="str">
        <f>IF(VLOOKUP(T43,ИСХОДНИК!A:R,18,FALSE())=1,ИСХОДНИК!$T$2,IF(VLOOKUP(T43,ИСХОДНИК!A:R,18,FALSE())=2,ИСХОДНИК!$T$5,IF(VLOOKUP(T43,ИСХОДНИК!A:R,18,FALSE())=3,ИСХОДНИК!$T$6)))</f>
        <v>○</v>
      </c>
    </row>
    <row r="44" spans="2:26" ht="21.75" customHeight="1">
      <c r="B44" s="97" t="s">
        <v>436</v>
      </c>
      <c r="C44" s="196" t="str">
        <f>VLOOKUP(B44,ИСХОДНИК!A:P,5,FALSE())</f>
        <v>FIA 65 D ANG PN 52</v>
      </c>
      <c r="D44" s="105" t="s">
        <v>267</v>
      </c>
      <c r="E44" s="197" t="str">
        <f>VLOOKUP(B44,ИСХОДНИК!A:P,11,FALSE())</f>
        <v>Под сварку встык DIN</v>
      </c>
      <c r="F44" s="182">
        <f>VLOOKUP(B44,ИСХОДНИК!A:P,7,FALSE())</f>
        <v>65</v>
      </c>
      <c r="G44" s="137" t="str">
        <f>VLOOKUP(B44,ИСХОДНИК!A:P,10,FALSE())</f>
        <v>R717, R744 и фреоны</v>
      </c>
      <c r="H44" s="181">
        <f>VLOOKUP(B44,ИСХОДНИК!A:P,8,FALSE())</f>
        <v>52</v>
      </c>
      <c r="I44" s="137" t="str">
        <f>VLOOKUP(B44,ИСХОДНИК!A:P,9,FALSE())</f>
        <v xml:space="preserve"> -60…120</v>
      </c>
      <c r="J44" s="137" t="s">
        <v>387</v>
      </c>
      <c r="K44" s="137">
        <v>56.1</v>
      </c>
      <c r="L44" s="137">
        <v>57.8</v>
      </c>
      <c r="M44" s="137">
        <v>60.4</v>
      </c>
      <c r="N44" s="137">
        <v>250</v>
      </c>
      <c r="O44" s="182" t="str">
        <f>VLOOKUP(B44,ИСХОДНИК!A:P,15,FALSE())</f>
        <v>U6 PL40R</v>
      </c>
      <c r="P44" s="139">
        <f>VLOOKUP(B44,ИСХОДНИК!A:P,13,FALSE())</f>
        <v>105600</v>
      </c>
      <c r="Q44" s="139">
        <f>VLOOKUP(B44,ИСХОДНИК!A:P,14,FALSE())</f>
        <v>122495.99999999999</v>
      </c>
      <c r="R44" s="104" t="str">
        <f>IF(VLOOKUP(B44,ИСХОДНИК!A:R,18,FALSE())=1,ИСХОДНИК!$T$2,IF(VLOOKUP(B44,ИСХОДНИК!A:R,18,FALSE())=2,ИСХОДНИК!$T$5,IF(VLOOKUP(B44,ИСХОДНИК!A:R,18,FALSE())=3,ИСХОДНИК!$T$6)))</f>
        <v>◑</v>
      </c>
      <c r="T44" s="238"/>
      <c r="U44" s="240"/>
      <c r="V44" s="223"/>
      <c r="W44" s="223"/>
      <c r="X44" s="241"/>
      <c r="Y44" s="241"/>
      <c r="Z44" s="263"/>
    </row>
    <row r="45" spans="2:26" ht="21.75" customHeight="1">
      <c r="B45" s="97" t="s">
        <v>437</v>
      </c>
      <c r="C45" s="196" t="str">
        <f>VLOOKUP(B45,ИСХОДНИК!A:P,5,FALSE())</f>
        <v>FIA 80 D ANG PN 52</v>
      </c>
      <c r="D45" s="105" t="s">
        <v>267</v>
      </c>
      <c r="E45" s="197" t="str">
        <f>VLOOKUP(B45,ИСХОДНИК!A:P,11,FALSE())</f>
        <v>Под сварку встык DIN</v>
      </c>
      <c r="F45" s="182">
        <f>VLOOKUP(B45,ИСХОДНИК!A:P,7,FALSE())</f>
        <v>80</v>
      </c>
      <c r="G45" s="137" t="str">
        <f>VLOOKUP(B45,ИСХОДНИК!A:P,10,FALSE())</f>
        <v>R717, R744 и фреоны</v>
      </c>
      <c r="H45" s="181">
        <f>VLOOKUP(B45,ИСХОДНИК!A:P,8,FALSE())</f>
        <v>52</v>
      </c>
      <c r="I45" s="137" t="str">
        <f>VLOOKUP(B45,ИСХОДНИК!A:P,9,FALSE())</f>
        <v xml:space="preserve"> -60…120</v>
      </c>
      <c r="J45" s="137" t="s">
        <v>387</v>
      </c>
      <c r="K45" s="137">
        <v>104.6</v>
      </c>
      <c r="L45" s="137">
        <v>108</v>
      </c>
      <c r="M45" s="137">
        <v>113.1</v>
      </c>
      <c r="N45" s="137">
        <v>250</v>
      </c>
      <c r="O45" s="182" t="str">
        <f>VLOOKUP(B45,ИСХОДНИК!A:P,15,FALSE())</f>
        <v>U6 PL40R</v>
      </c>
      <c r="P45" s="139">
        <f>VLOOKUP(B45,ИСХОДНИК!A:P,13,FALSE())</f>
        <v>126000</v>
      </c>
      <c r="Q45" s="139">
        <f>VLOOKUP(B45,ИСХОДНИК!A:P,14,FALSE())</f>
        <v>146160</v>
      </c>
      <c r="R45" s="104" t="str">
        <f>IF(VLOOKUP(B45,ИСХОДНИК!A:R,18,FALSE())=1,ИСХОДНИК!$T$2,IF(VLOOKUP(B45,ИСХОДНИК!A:R,18,FALSE())=2,ИСХОДНИК!$T$5,IF(VLOOKUP(B45,ИСХОДНИК!A:R,18,FALSE())=3,ИСХОДНИК!$T$6)))</f>
        <v>◑</v>
      </c>
      <c r="T45" s="238"/>
      <c r="U45" s="240"/>
      <c r="V45" s="223"/>
      <c r="W45" s="223"/>
      <c r="X45" s="241"/>
      <c r="Y45" s="241"/>
      <c r="Z45" s="264"/>
    </row>
    <row r="46" spans="2:26" ht="21.75" customHeight="1">
      <c r="B46" s="97" t="s">
        <v>438</v>
      </c>
      <c r="C46" s="196" t="str">
        <f>VLOOKUP(B46,ИСХОДНИК!A:P,5,FALSE())</f>
        <v>FIA 100 D ANG PN 52</v>
      </c>
      <c r="D46" s="105" t="s">
        <v>267</v>
      </c>
      <c r="E46" s="197" t="str">
        <f>VLOOKUP(B46,ИСХОДНИК!A:P,11,FALSE())</f>
        <v>Под сварку встык DIN</v>
      </c>
      <c r="F46" s="182">
        <f>VLOOKUP(B46,ИСХОДНИК!A:P,7,FALSE())</f>
        <v>100</v>
      </c>
      <c r="G46" s="137" t="str">
        <f>VLOOKUP(B46,ИСХОДНИК!A:P,10,FALSE())</f>
        <v>R717, R744 и фреоны</v>
      </c>
      <c r="H46" s="181">
        <f>VLOOKUP(B46,ИСХОДНИК!A:P,8,FALSE())</f>
        <v>52</v>
      </c>
      <c r="I46" s="137" t="str">
        <f>VLOOKUP(B46,ИСХОДНИК!A:P,9,FALSE())</f>
        <v xml:space="preserve"> -60…120</v>
      </c>
      <c r="J46" s="181" t="s">
        <v>387</v>
      </c>
      <c r="K46" s="181">
        <v>162.4</v>
      </c>
      <c r="L46" s="181">
        <v>167.5</v>
      </c>
      <c r="M46" s="181">
        <v>176</v>
      </c>
      <c r="N46" s="137">
        <v>250</v>
      </c>
      <c r="O46" s="182" t="str">
        <f>VLOOKUP(B46,ИСХОДНИК!A:P,15,FALSE())</f>
        <v>U6 PL40R</v>
      </c>
      <c r="P46" s="139">
        <f>VLOOKUP(B46,ИСХОДНИК!A:P,13,FALSE())</f>
        <v>240000</v>
      </c>
      <c r="Q46" s="139">
        <f>VLOOKUP(B46,ИСХОДНИК!A:P,14,FALSE())</f>
        <v>278400</v>
      </c>
      <c r="R46" s="104" t="str">
        <f>IF(VLOOKUP(B46,ИСХОДНИК!A:R,18,FALSE())=1,ИСХОДНИК!$T$2,IF(VLOOKUP(B46,ИСХОДНИК!A:R,18,FALSE())=2,ИСХОДНИК!$T$5,IF(VLOOKUP(B46,ИСХОДНИК!A:R,18,FALSE())=3,ИСХОДНИК!$T$6)))</f>
        <v>◑</v>
      </c>
      <c r="T46" s="238"/>
      <c r="U46" s="240"/>
      <c r="V46" s="223"/>
      <c r="W46" s="223"/>
      <c r="X46" s="241"/>
      <c r="Y46" s="241"/>
      <c r="Z46" s="263"/>
    </row>
    <row r="47" spans="2:26" ht="21.75" customHeight="1">
      <c r="B47" s="97" t="s">
        <v>439</v>
      </c>
      <c r="C47" s="196" t="str">
        <f>VLOOKUP(B47,ИСХОДНИК!A:P,5,FALSE())</f>
        <v>FIA 100 G ANG PN 52</v>
      </c>
      <c r="D47" s="105" t="s">
        <v>267</v>
      </c>
      <c r="E47" s="197" t="str">
        <f>VLOOKUP(B47,ИСХОДНИК!A:P,11,FALSE())</f>
        <v>Под сварку встык GOST</v>
      </c>
      <c r="F47" s="182">
        <f>VLOOKUP(B47,ИСХОДНИК!A:P,7,FALSE())</f>
        <v>100</v>
      </c>
      <c r="G47" s="137" t="str">
        <f>VLOOKUP(B47,ИСХОДНИК!A:P,10,FALSE())</f>
        <v>R717, R744 и фреоны</v>
      </c>
      <c r="H47" s="181">
        <f>VLOOKUP(B47,ИСХОДНИК!A:P,8,FALSE())</f>
        <v>52</v>
      </c>
      <c r="I47" s="137" t="str">
        <f>VLOOKUP(B47,ИСХОДНИК!A:P,9,FALSE())</f>
        <v xml:space="preserve"> -60…120</v>
      </c>
      <c r="J47" s="137" t="s">
        <v>387</v>
      </c>
      <c r="K47" s="137">
        <v>220.2</v>
      </c>
      <c r="L47" s="137">
        <v>227</v>
      </c>
      <c r="M47" s="137">
        <v>238.9</v>
      </c>
      <c r="N47" s="137">
        <v>250</v>
      </c>
      <c r="O47" s="182" t="str">
        <f>VLOOKUP(B47,ИСХОДНИК!A:P,15,FALSE())</f>
        <v>U6 PL40R</v>
      </c>
      <c r="P47" s="139">
        <f>VLOOKUP(B47,ИСХОДНИК!A:P,13,FALSE())</f>
        <v>240000</v>
      </c>
      <c r="Q47" s="139">
        <f>VLOOKUP(B47,ИСХОДНИК!A:P,14,FALSE())</f>
        <v>278400</v>
      </c>
      <c r="R47" s="140" t="str">
        <f>IF(VLOOKUP(B47,ИСХОДНИК!A:R,18,FALSE())=1,ИСХОДНИК!$T$2,IF(VLOOKUP(B47,ИСХОДНИК!A:R,18,FALSE())=2,ИСХОДНИК!$T$5,IF(VLOOKUP(B47,ИСХОДНИК!A:R,18,FALSE())=3,ИСХОДНИК!$T$6)))</f>
        <v>○</v>
      </c>
      <c r="T47" s="238"/>
      <c r="U47" s="240"/>
      <c r="V47" s="223"/>
      <c r="W47" s="223"/>
      <c r="X47" s="241"/>
      <c r="Y47" s="241"/>
      <c r="Z47" s="264"/>
    </row>
    <row r="48" spans="2:26" ht="21.75" customHeight="1">
      <c r="B48" s="97" t="s">
        <v>440</v>
      </c>
      <c r="C48" s="196" t="str">
        <f>VLOOKUP(B48,ИСХОДНИК!A:P,5,FALSE())</f>
        <v>FIA 100 D ANG PN 40</v>
      </c>
      <c r="D48" s="105" t="s">
        <v>267</v>
      </c>
      <c r="E48" s="197" t="str">
        <f>VLOOKUP(B48,ИСХОДНИК!A:P,11,FALSE())</f>
        <v>Под сварку встык DIN</v>
      </c>
      <c r="F48" s="182">
        <f>VLOOKUP(B48,ИСХОДНИК!A:P,7,FALSE())</f>
        <v>100</v>
      </c>
      <c r="G48" s="137" t="str">
        <f>VLOOKUP(B48,ИСХОДНИК!A:P,10,FALSE())</f>
        <v>R717, R744 и фреоны</v>
      </c>
      <c r="H48" s="181">
        <f>VLOOKUP(B48,ИСХОДНИК!A:P,8,FALSE())</f>
        <v>40</v>
      </c>
      <c r="I48" s="137" t="str">
        <f>VLOOKUP(B48,ИСХОДНИК!A:P,9,FALSE())</f>
        <v xml:space="preserve"> -60…120</v>
      </c>
      <c r="J48" s="181" t="s">
        <v>387</v>
      </c>
      <c r="K48" s="181">
        <v>278</v>
      </c>
      <c r="L48" s="181">
        <v>286.5</v>
      </c>
      <c r="M48" s="181">
        <v>301.8</v>
      </c>
      <c r="N48" s="137">
        <v>250</v>
      </c>
      <c r="O48" s="182" t="str">
        <f>VLOOKUP(B48,ИСХОДНИК!A:P,15,FALSE())</f>
        <v>U6 PL40R</v>
      </c>
      <c r="P48" s="139">
        <f>VLOOKUP(B48,ИСХОДНИК!A:P,13,FALSE())</f>
        <v>210000</v>
      </c>
      <c r="Q48" s="139">
        <f>VLOOKUP(B48,ИСХОДНИК!A:P,14,FALSE())</f>
        <v>243599.99999999997</v>
      </c>
      <c r="R48" s="104" t="str">
        <f>IF(VLOOKUP(B48,ИСХОДНИК!A:R,18,FALSE())=1,ИСХОДНИК!$T$2,IF(VLOOKUP(B48,ИСХОДНИК!A:R,18,FALSE())=2,ИСХОДНИК!$T$5,IF(VLOOKUP(B48,ИСХОДНИК!A:R,18,FALSE())=3,ИСХОДНИК!$T$6)))</f>
        <v>◑</v>
      </c>
      <c r="T48" s="238"/>
      <c r="U48" s="240"/>
      <c r="V48" s="223"/>
      <c r="W48" s="223"/>
      <c r="X48" s="241"/>
      <c r="Y48" s="241"/>
      <c r="Z48" s="264"/>
    </row>
    <row r="49" spans="2:26" ht="21.75" customHeight="1">
      <c r="B49" s="97" t="s">
        <v>441</v>
      </c>
      <c r="C49" s="196" t="str">
        <f>VLOOKUP(B49,ИСХОДНИК!A:P,5,FALSE())</f>
        <v>FIA 100 G ANG PN 40</v>
      </c>
      <c r="D49" s="105" t="s">
        <v>267</v>
      </c>
      <c r="E49" s="197" t="str">
        <f>VLOOKUP(B49,ИСХОДНИК!A:P,11,FALSE())</f>
        <v>Под сварку встык GOST</v>
      </c>
      <c r="F49" s="182">
        <f>VLOOKUP(B49,ИСХОДНИК!A:P,7,FALSE())</f>
        <v>100</v>
      </c>
      <c r="G49" s="137" t="str">
        <f>VLOOKUP(B49,ИСХОДНИК!A:P,10,FALSE())</f>
        <v>R717, R744 и фреоны</v>
      </c>
      <c r="H49" s="181">
        <f>VLOOKUP(B49,ИСХОДНИК!A:P,8,FALSE())</f>
        <v>40</v>
      </c>
      <c r="I49" s="137" t="str">
        <f>VLOOKUP(B49,ИСХОДНИК!A:P,9,FALSE())</f>
        <v xml:space="preserve"> -60…120</v>
      </c>
      <c r="J49" s="137" t="s">
        <v>387</v>
      </c>
      <c r="K49" s="137">
        <v>335.8</v>
      </c>
      <c r="L49" s="137">
        <v>346</v>
      </c>
      <c r="M49" s="137">
        <v>364.7</v>
      </c>
      <c r="N49" s="137">
        <v>250</v>
      </c>
      <c r="O49" s="182" t="str">
        <f>VLOOKUP(B49,ИСХОДНИК!A:P,15,FALSE())</f>
        <v>U6 PL40R</v>
      </c>
      <c r="P49" s="139">
        <f>VLOOKUP(B49,ИСХОДНИК!A:P,13,FALSE())</f>
        <v>210000</v>
      </c>
      <c r="Q49" s="139">
        <f>VLOOKUP(B49,ИСХОДНИК!A:P,14,FALSE())</f>
        <v>243599.99999999997</v>
      </c>
      <c r="R49" s="140" t="str">
        <f>IF(VLOOKUP(B49,ИСХОДНИК!A:R,18,FALSE())=1,ИСХОДНИК!$T$2,IF(VLOOKUP(B49,ИСХОДНИК!A:R,18,FALSE())=2,ИСХОДНИК!$T$5,IF(VLOOKUP(B49,ИСХОДНИК!A:R,18,FALSE())=3,ИСХОДНИК!$T$6)))</f>
        <v>○</v>
      </c>
      <c r="T49" s="238"/>
      <c r="U49" s="240"/>
      <c r="V49" s="223"/>
      <c r="W49" s="223"/>
      <c r="X49" s="241"/>
      <c r="Y49" s="241"/>
      <c r="Z49" s="264"/>
    </row>
    <row r="50" spans="2:26" ht="21.75" customHeight="1">
      <c r="B50" s="97" t="s">
        <v>442</v>
      </c>
      <c r="C50" s="196" t="str">
        <f>VLOOKUP(B50,ИСХОДНИК!A:P,5,FALSE())</f>
        <v>FIA 125 D ANG PN 52</v>
      </c>
      <c r="D50" s="105" t="s">
        <v>267</v>
      </c>
      <c r="E50" s="197" t="str">
        <f>VLOOKUP(B50,ИСХОДНИК!A:P,11,FALSE())</f>
        <v>Под сварку встык DIN</v>
      </c>
      <c r="F50" s="182">
        <f>VLOOKUP(B50,ИСХОДНИК!A:P,7,FALSE())</f>
        <v>125</v>
      </c>
      <c r="G50" s="137" t="str">
        <f>VLOOKUP(B50,ИСХОДНИК!A:P,10,FALSE())</f>
        <v>R717, R744 и фреоны</v>
      </c>
      <c r="H50" s="181">
        <f>VLOOKUP(B50,ИСХОДНИК!A:P,8,FALSE())</f>
        <v>52</v>
      </c>
      <c r="I50" s="137" t="str">
        <f>VLOOKUP(B50,ИСХОДНИК!A:P,9,FALSE())</f>
        <v xml:space="preserve"> -60…120</v>
      </c>
      <c r="J50" s="137" t="s">
        <v>387</v>
      </c>
      <c r="K50" s="137">
        <v>275.39999999999998</v>
      </c>
      <c r="L50" s="137">
        <v>283.89999999999998</v>
      </c>
      <c r="M50" s="137">
        <v>298.39999999999998</v>
      </c>
      <c r="N50" s="137">
        <v>250</v>
      </c>
      <c r="O50" s="182" t="str">
        <f>VLOOKUP(B50,ИСХОДНИК!A:P,15,FALSE())</f>
        <v>U6 PL40R</v>
      </c>
      <c r="P50" s="139">
        <f>VLOOKUP(B50,ИСХОДНИК!A:P,13,FALSE())</f>
        <v>435000</v>
      </c>
      <c r="Q50" s="139">
        <f>VLOOKUP(B50,ИСХОДНИК!A:P,14,FALSE())</f>
        <v>504599.99999999994</v>
      </c>
      <c r="R50" s="140" t="str">
        <f>IF(VLOOKUP(B50,ИСХОДНИК!A:R,18,FALSE())=1,ИСХОДНИК!$T$2,IF(VLOOKUP(B50,ИСХОДНИК!A:R,18,FALSE())=2,ИСХОДНИК!$T$5,IF(VLOOKUP(B50,ИСХОДНИК!A:R,18,FALSE())=3,ИСХОДНИК!$T$6)))</f>
        <v>○</v>
      </c>
      <c r="T50" s="238"/>
      <c r="U50" s="240"/>
      <c r="V50" s="223"/>
      <c r="W50" s="223"/>
      <c r="X50" s="241"/>
      <c r="Y50" s="241"/>
      <c r="Z50" s="264"/>
    </row>
    <row r="51" spans="2:26" ht="21.75" customHeight="1">
      <c r="B51" s="97" t="s">
        <v>443</v>
      </c>
      <c r="C51" s="196" t="str">
        <f>VLOOKUP(B51,ИСХОДНИК!A:P,5,FALSE())</f>
        <v>FIA 125 G ANG PN 52</v>
      </c>
      <c r="D51" s="105" t="s">
        <v>267</v>
      </c>
      <c r="E51" s="197" t="str">
        <f>VLOOKUP(B51,ИСХОДНИК!A:P,11,FALSE())</f>
        <v>Под сварку встык GOST</v>
      </c>
      <c r="F51" s="182">
        <f>VLOOKUP(B51,ИСХОДНИК!A:P,7,FALSE())</f>
        <v>125</v>
      </c>
      <c r="G51" s="137" t="str">
        <f>VLOOKUP(B51,ИСХОДНИК!A:P,10,FALSE())</f>
        <v>R717, R744 и фреоны</v>
      </c>
      <c r="H51" s="181">
        <f>VLOOKUP(B51,ИСХОДНИК!A:P,8,FALSE())</f>
        <v>52</v>
      </c>
      <c r="I51" s="137" t="str">
        <f>VLOOKUP(B51,ИСХОДНИК!A:P,9,FALSE())</f>
        <v xml:space="preserve"> -60…120</v>
      </c>
      <c r="J51" s="137" t="s">
        <v>387</v>
      </c>
      <c r="K51" s="137">
        <v>215</v>
      </c>
      <c r="L51" s="137">
        <v>221.8</v>
      </c>
      <c r="M51" s="137">
        <v>232.1</v>
      </c>
      <c r="N51" s="137">
        <v>250</v>
      </c>
      <c r="O51" s="182" t="str">
        <f>VLOOKUP(B51,ИСХОДНИК!A:P,15,FALSE())</f>
        <v>U6 PL40R</v>
      </c>
      <c r="P51" s="139">
        <f>VLOOKUP(B51,ИСХОДНИК!A:P,13,FALSE())</f>
        <v>435000</v>
      </c>
      <c r="Q51" s="139">
        <f>VLOOKUP(B51,ИСХОДНИК!A:P,14,FALSE())</f>
        <v>504599.99999999994</v>
      </c>
      <c r="R51" s="140" t="str">
        <f>IF(VLOOKUP(B51,ИСХОДНИК!A:R,18,FALSE())=1,ИСХОДНИК!$T$2,IF(VLOOKUP(B51,ИСХОДНИК!A:R,18,FALSE())=2,ИСХОДНИК!$T$5,IF(VLOOKUP(B51,ИСХОДНИК!A:R,18,FALSE())=3,ИСХОДНИК!$T$6)))</f>
        <v>○</v>
      </c>
      <c r="T51" s="238"/>
      <c r="U51" s="240"/>
      <c r="V51" s="223"/>
      <c r="W51" s="223"/>
      <c r="X51" s="241"/>
      <c r="Y51" s="241"/>
      <c r="Z51" s="264"/>
    </row>
    <row r="52" spans="2:26" ht="21.75" customHeight="1">
      <c r="B52" s="97" t="s">
        <v>444</v>
      </c>
      <c r="C52" s="196" t="str">
        <f>VLOOKUP(B52,ИСХОДНИК!A:P,5,FALSE())</f>
        <v>FIA 125 D ANG PN 40</v>
      </c>
      <c r="D52" s="105" t="s">
        <v>267</v>
      </c>
      <c r="E52" s="197" t="str">
        <f>VLOOKUP(B52,ИСХОДНИК!A:P,11,FALSE())</f>
        <v>Под сварку встык DIN</v>
      </c>
      <c r="F52" s="182">
        <f>VLOOKUP(B52,ИСХОДНИК!A:P,7,FALSE())</f>
        <v>125</v>
      </c>
      <c r="G52" s="137" t="str">
        <f>VLOOKUP(B52,ИСХОДНИК!A:P,10,FALSE())</f>
        <v>R717, R744 и фреоны</v>
      </c>
      <c r="H52" s="181">
        <f>VLOOKUP(B52,ИСХОДНИК!A:P,8,FALSE())</f>
        <v>40</v>
      </c>
      <c r="I52" s="137" t="str">
        <f>VLOOKUP(B52,ИСХОДНИК!A:P,9,FALSE())</f>
        <v xml:space="preserve"> -60…120</v>
      </c>
      <c r="J52" s="137" t="s">
        <v>387</v>
      </c>
      <c r="K52" s="137">
        <v>154.6</v>
      </c>
      <c r="L52" s="137">
        <v>159.69999999999999</v>
      </c>
      <c r="M52" s="137">
        <v>165.8</v>
      </c>
      <c r="N52" s="137">
        <v>250</v>
      </c>
      <c r="O52" s="182" t="str">
        <f>VLOOKUP(B52,ИСХОДНИК!A:P,15,FALSE())</f>
        <v>U6 PL40R</v>
      </c>
      <c r="P52" s="139">
        <f>VLOOKUP(B52,ИСХОДНИК!A:P,13,FALSE())</f>
        <v>354000</v>
      </c>
      <c r="Q52" s="139">
        <f>VLOOKUP(B52,ИСХОДНИК!A:P,14,FALSE())</f>
        <v>410640</v>
      </c>
      <c r="R52" s="104" t="str">
        <f>IF(VLOOKUP(B52,ИСХОДНИК!A:R,18,FALSE())=1,ИСХОДНИК!$T$2,IF(VLOOKUP(B52,ИСХОДНИК!A:R,18,FALSE())=2,ИСХОДНИК!$T$5,IF(VLOOKUP(B52,ИСХОДНИК!A:R,18,FALSE())=3,ИСХОДНИК!$T$6)))</f>
        <v>◑</v>
      </c>
      <c r="T52" s="238"/>
      <c r="U52" s="240"/>
      <c r="V52" s="223"/>
      <c r="W52" s="223"/>
      <c r="X52" s="241"/>
      <c r="Y52" s="241"/>
      <c r="Z52" s="264"/>
    </row>
    <row r="53" spans="2:26" ht="21.75" customHeight="1">
      <c r="B53" s="97" t="s">
        <v>445</v>
      </c>
      <c r="C53" s="196" t="str">
        <f>VLOOKUP(B53,ИСХОДНИК!A:P,5,FALSE())</f>
        <v>FIA 125 G ANG PN 40</v>
      </c>
      <c r="D53" s="105" t="s">
        <v>267</v>
      </c>
      <c r="E53" s="197" t="str">
        <f>VLOOKUP(B53,ИСХОДНИК!A:P,11,FALSE())</f>
        <v>Под сварку встык GOST</v>
      </c>
      <c r="F53" s="182">
        <f>VLOOKUP(B53,ИСХОДНИК!A:P,7,FALSE())</f>
        <v>125</v>
      </c>
      <c r="G53" s="137" t="str">
        <f>VLOOKUP(B53,ИСХОДНИК!A:P,10,FALSE())</f>
        <v>R717, R744 и фреоны</v>
      </c>
      <c r="H53" s="181">
        <f>VLOOKUP(B53,ИСХОДНИК!A:P,8,FALSE())</f>
        <v>40</v>
      </c>
      <c r="I53" s="137" t="str">
        <f>VLOOKUP(B53,ИСХОДНИК!A:P,9,FALSE())</f>
        <v xml:space="preserve"> -60…120</v>
      </c>
      <c r="J53" s="137" t="s">
        <v>387</v>
      </c>
      <c r="K53" s="137">
        <v>94.2</v>
      </c>
      <c r="L53" s="137">
        <v>97.6</v>
      </c>
      <c r="M53" s="137">
        <v>99.5</v>
      </c>
      <c r="N53" s="137">
        <v>250</v>
      </c>
      <c r="O53" s="182" t="str">
        <f>VLOOKUP(B53,ИСХОДНИК!A:P,15,FALSE())</f>
        <v>U6 PL40R</v>
      </c>
      <c r="P53" s="139">
        <f>VLOOKUP(B53,ИСХОДНИК!A:P,13,FALSE())</f>
        <v>354000</v>
      </c>
      <c r="Q53" s="139">
        <f>VLOOKUP(B53,ИСХОДНИК!A:P,14,FALSE())</f>
        <v>410640</v>
      </c>
      <c r="R53" s="140" t="str">
        <f>IF(VLOOKUP(B53,ИСХОДНИК!A:R,18,FALSE())=1,ИСХОДНИК!$T$2,IF(VLOOKUP(B53,ИСХОДНИК!A:R,18,FALSE())=2,ИСХОДНИК!$T$5,IF(VLOOKUP(B53,ИСХОДНИК!A:R,18,FALSE())=3,ИСХОДНИК!$T$6)))</f>
        <v>○</v>
      </c>
      <c r="T53" s="238"/>
      <c r="U53" s="240"/>
      <c r="V53" s="223"/>
      <c r="W53" s="223"/>
      <c r="X53" s="241"/>
      <c r="Y53" s="241"/>
      <c r="Z53" s="264"/>
    </row>
    <row r="54" spans="2:26" ht="21.75" customHeight="1">
      <c r="B54" s="97" t="s">
        <v>446</v>
      </c>
      <c r="C54" s="196" t="str">
        <f>VLOOKUP(B54,ИСХОДНИК!A:P,5,FALSE())</f>
        <v>FIA 150 D ANG PN 52</v>
      </c>
      <c r="D54" s="105" t="s">
        <v>267</v>
      </c>
      <c r="E54" s="197" t="str">
        <f>VLOOKUP(B54,ИСХОДНИК!A:P,11,FALSE())</f>
        <v>Под сварку встык DIN</v>
      </c>
      <c r="F54" s="182">
        <f>VLOOKUP(B54,ИСХОДНИК!A:P,7,FALSE())</f>
        <v>150</v>
      </c>
      <c r="G54" s="137" t="str">
        <f>VLOOKUP(B54,ИСХОДНИК!A:P,10,FALSE())</f>
        <v>R717, R744 и фреоны</v>
      </c>
      <c r="H54" s="181">
        <f>VLOOKUP(B54,ИСХОДНИК!A:P,8,FALSE())</f>
        <v>52</v>
      </c>
      <c r="I54" s="137" t="str">
        <f>VLOOKUP(B54,ИСХОДНИК!A:P,9,FALSE())</f>
        <v xml:space="preserve"> -60…120</v>
      </c>
      <c r="J54" s="137" t="s">
        <v>387</v>
      </c>
      <c r="K54" s="137">
        <v>362.1</v>
      </c>
      <c r="L54" s="137">
        <v>373.2</v>
      </c>
      <c r="M54" s="137">
        <v>391.9</v>
      </c>
      <c r="N54" s="137">
        <v>250</v>
      </c>
      <c r="O54" s="182" t="str">
        <f>VLOOKUP(B54,ИСХОДНИК!A:P,15,FALSE())</f>
        <v>U6 PL40R</v>
      </c>
      <c r="P54" s="139">
        <f>VLOOKUP(B54,ИСХОДНИК!A:P,13,FALSE())</f>
        <v>594000</v>
      </c>
      <c r="Q54" s="139">
        <f>VLOOKUP(B54,ИСХОДНИК!A:P,14,FALSE())</f>
        <v>689040</v>
      </c>
      <c r="R54" s="140" t="str">
        <f>IF(VLOOKUP(B54,ИСХОДНИК!A:R,18,FALSE())=1,ИСХОДНИК!$T$2,IF(VLOOKUP(B54,ИСХОДНИК!A:R,18,FALSE())=2,ИСХОДНИК!$T$5,IF(VLOOKUP(B54,ИСХОДНИК!A:R,18,FALSE())=3,ИСХОДНИК!$T$6)))</f>
        <v>○</v>
      </c>
      <c r="T54" s="238"/>
      <c r="U54" s="240"/>
      <c r="V54" s="223"/>
      <c r="W54" s="223"/>
      <c r="X54" s="241"/>
      <c r="Y54" s="241"/>
      <c r="Z54" s="264"/>
    </row>
    <row r="55" spans="2:26" ht="21.75" customHeight="1">
      <c r="B55" s="97" t="s">
        <v>447</v>
      </c>
      <c r="C55" s="196" t="str">
        <f>VLOOKUP(B55,ИСХОДНИК!A:P,5,FALSE())</f>
        <v>FIA 150 G ANG PN 52</v>
      </c>
      <c r="D55" s="105" t="s">
        <v>267</v>
      </c>
      <c r="E55" s="197" t="str">
        <f>VLOOKUP(B55,ИСХОДНИК!A:P,11,FALSE())</f>
        <v>Под сварку встык GOST</v>
      </c>
      <c r="F55" s="182">
        <f>VLOOKUP(B55,ИСХОДНИК!A:P,7,FALSE())</f>
        <v>150</v>
      </c>
      <c r="G55" s="137" t="str">
        <f>VLOOKUP(B55,ИСХОДНИК!A:P,10,FALSE())</f>
        <v>R717, R744 и фреоны</v>
      </c>
      <c r="H55" s="181">
        <f>VLOOKUP(B55,ИСХОДНИК!A:P,8,FALSE())</f>
        <v>52</v>
      </c>
      <c r="I55" s="137" t="str">
        <f>VLOOKUP(B55,ИСХОДНИК!A:P,9,FALSE())</f>
        <v xml:space="preserve"> -60…120</v>
      </c>
      <c r="J55" s="137" t="s">
        <v>387</v>
      </c>
      <c r="K55" s="137">
        <v>630</v>
      </c>
      <c r="L55" s="137">
        <v>648.79999999999995</v>
      </c>
      <c r="M55" s="137">
        <v>684.3</v>
      </c>
      <c r="N55" s="137">
        <v>250</v>
      </c>
      <c r="O55" s="182" t="str">
        <f>VLOOKUP(B55,ИСХОДНИК!A:P,15,FALSE())</f>
        <v>U6 PL40R</v>
      </c>
      <c r="P55" s="139">
        <f>VLOOKUP(B55,ИСХОДНИК!A:P,13,FALSE())</f>
        <v>594000</v>
      </c>
      <c r="Q55" s="139">
        <f>VLOOKUP(B55,ИСХОДНИК!A:P,14,FALSE())</f>
        <v>689040</v>
      </c>
      <c r="R55" s="140" t="str">
        <f>IF(VLOOKUP(B55,ИСХОДНИК!A:R,18,FALSE())=1,ИСХОДНИК!$T$2,IF(VLOOKUP(B55,ИСХОДНИК!A:R,18,FALSE())=2,ИСХОДНИК!$T$5,IF(VLOOKUP(B55,ИСХОДНИК!A:R,18,FALSE())=3,ИСХОДНИК!$T$6)))</f>
        <v>○</v>
      </c>
      <c r="T55" s="238"/>
      <c r="U55" s="240"/>
      <c r="V55" s="223"/>
      <c r="W55" s="223"/>
      <c r="X55" s="241"/>
      <c r="Y55" s="241"/>
      <c r="Z55" s="264"/>
    </row>
    <row r="56" spans="2:26" ht="21.75" customHeight="1">
      <c r="B56" s="97" t="s">
        <v>448</v>
      </c>
      <c r="C56" s="196" t="str">
        <f>VLOOKUP(B56,ИСХОДНИК!A:P,5,FALSE())</f>
        <v>FIA 150 D ANG PN 40</v>
      </c>
      <c r="D56" s="105" t="s">
        <v>267</v>
      </c>
      <c r="E56" s="197" t="str">
        <f>VLOOKUP(B56,ИСХОДНИК!A:P,11,FALSE())</f>
        <v>Под сварку встык DIN</v>
      </c>
      <c r="F56" s="182">
        <f>VLOOKUP(B56,ИСХОДНИК!A:P,7,FALSE())</f>
        <v>150</v>
      </c>
      <c r="G56" s="137" t="str">
        <f>VLOOKUP(B56,ИСХОДНИК!A:P,10,FALSE())</f>
        <v>R717, R744 и фреоны</v>
      </c>
      <c r="H56" s="181">
        <f>VLOOKUP(B56,ИСХОДНИК!A:P,8,FALSE())</f>
        <v>40</v>
      </c>
      <c r="I56" s="137" t="str">
        <f>VLOOKUP(B56,ИСХОДНИК!A:P,9,FALSE())</f>
        <v xml:space="preserve"> -60…120</v>
      </c>
      <c r="J56" s="137" t="s">
        <v>387</v>
      </c>
      <c r="K56" s="137">
        <v>897.9</v>
      </c>
      <c r="L56" s="137">
        <v>924.4</v>
      </c>
      <c r="M56" s="137">
        <v>976.7</v>
      </c>
      <c r="N56" s="137">
        <v>250</v>
      </c>
      <c r="O56" s="182" t="str">
        <f>VLOOKUP(B56,ИСХОДНИК!A:P,15,FALSE())</f>
        <v>U6 PL40R</v>
      </c>
      <c r="P56" s="139">
        <f>VLOOKUP(B56,ИСХОДНИК!A:P,13,FALSE())</f>
        <v>498000</v>
      </c>
      <c r="Q56" s="139">
        <f>VLOOKUP(B56,ИСХОДНИК!A:P,14,FALSE())</f>
        <v>577680</v>
      </c>
      <c r="R56" s="140" t="str">
        <f>IF(VLOOKUP(B56,ИСХОДНИК!A:R,18,FALSE())=1,ИСХОДНИК!$T$2,IF(VLOOKUP(B56,ИСХОДНИК!A:R,18,FALSE())=2,ИСХОДНИК!$T$5,IF(VLOOKUP(B56,ИСХОДНИК!A:R,18,FALSE())=3,ИСХОДНИК!$T$6)))</f>
        <v>○</v>
      </c>
      <c r="T56" s="238"/>
      <c r="U56" s="240"/>
      <c r="V56" s="223"/>
      <c r="W56" s="223"/>
      <c r="X56" s="241"/>
      <c r="Y56" s="241"/>
      <c r="Z56" s="264"/>
    </row>
    <row r="57" spans="2:26" ht="21.75" customHeight="1">
      <c r="B57" s="97" t="s">
        <v>449</v>
      </c>
      <c r="C57" s="196" t="str">
        <f>VLOOKUP(B57,ИСХОДНИК!A:P,5,FALSE())</f>
        <v>FIA 150 G ANG PN 40</v>
      </c>
      <c r="D57" s="105" t="s">
        <v>267</v>
      </c>
      <c r="E57" s="197" t="str">
        <f>VLOOKUP(B57,ИСХОДНИК!A:P,11,FALSE())</f>
        <v>Под сварку встык GOST</v>
      </c>
      <c r="F57" s="182">
        <f>VLOOKUP(B57,ИСХОДНИК!A:P,7,FALSE())</f>
        <v>150</v>
      </c>
      <c r="G57" s="137" t="str">
        <f>VLOOKUP(B57,ИСХОДНИК!A:P,10,FALSE())</f>
        <v>R717, R744 и фреоны</v>
      </c>
      <c r="H57" s="181">
        <f>VLOOKUP(B57,ИСХОДНИК!A:P,8,FALSE())</f>
        <v>40</v>
      </c>
      <c r="I57" s="137" t="str">
        <f>VLOOKUP(B57,ИСХОДНИК!A:P,9,FALSE())</f>
        <v xml:space="preserve"> -60…120</v>
      </c>
      <c r="J57" s="137" t="s">
        <v>387</v>
      </c>
      <c r="K57" s="137">
        <v>1165.8</v>
      </c>
      <c r="L57" s="137">
        <v>1200</v>
      </c>
      <c r="M57" s="137">
        <v>1269.0999999999999</v>
      </c>
      <c r="N57" s="137">
        <v>250</v>
      </c>
      <c r="O57" s="182" t="str">
        <f>VLOOKUP(B57,ИСХОДНИК!A:P,15,FALSE())</f>
        <v>U6 PL40R</v>
      </c>
      <c r="P57" s="139">
        <f>VLOOKUP(B57,ИСХОДНИК!A:P,13,FALSE())</f>
        <v>498000</v>
      </c>
      <c r="Q57" s="139">
        <f>VLOOKUP(B57,ИСХОДНИК!A:P,14,FALSE())</f>
        <v>577680</v>
      </c>
      <c r="R57" s="140" t="str">
        <f>IF(VLOOKUP(B57,ИСХОДНИК!A:R,18,FALSE())=1,ИСХОДНИК!$T$2,IF(VLOOKUP(B57,ИСХОДНИК!A:R,18,FALSE())=2,ИСХОДНИК!$T$5,IF(VLOOKUP(B57,ИСХОДНИК!A:R,18,FALSE())=3,ИСХОДНИК!$T$6)))</f>
        <v>○</v>
      </c>
      <c r="T57" s="238"/>
      <c r="U57" s="240"/>
      <c r="V57" s="223"/>
      <c r="W57" s="223"/>
      <c r="X57" s="241"/>
      <c r="Y57" s="241"/>
      <c r="Z57" s="264"/>
    </row>
    <row r="58" spans="2:26" ht="21.75" customHeight="1">
      <c r="B58" s="97" t="s">
        <v>440</v>
      </c>
      <c r="C58" s="196" t="str">
        <f>VLOOKUP(B58,ИСХОДНИК!A:P,5,FALSE())</f>
        <v>FIA 100 D ANG PN 40</v>
      </c>
      <c r="D58" s="105" t="s">
        <v>267</v>
      </c>
      <c r="E58" s="197" t="str">
        <f>VLOOKUP(B58,ИСХОДНИК!A:P,11,FALSE())</f>
        <v>Под сварку встык DIN</v>
      </c>
      <c r="F58" s="182">
        <f>VLOOKUP(B58,ИСХОДНИК!A:P,7,FALSE())</f>
        <v>100</v>
      </c>
      <c r="G58" s="137" t="str">
        <f>VLOOKUP(B58,ИСХОДНИК!A:P,10,FALSE())</f>
        <v>R717, R744 и фреоны</v>
      </c>
      <c r="H58" s="181">
        <f>VLOOKUP(B58,ИСХОДНИК!A:P,8,FALSE())</f>
        <v>40</v>
      </c>
      <c r="I58" s="137" t="str">
        <f>VLOOKUP(B58,ИСХОДНИК!A:P,9,FALSE())</f>
        <v xml:space="preserve"> -60…120</v>
      </c>
      <c r="J58" s="137" t="s">
        <v>387</v>
      </c>
      <c r="K58" s="137">
        <v>162.4</v>
      </c>
      <c r="L58" s="137">
        <v>167.5</v>
      </c>
      <c r="M58" s="137">
        <v>176</v>
      </c>
      <c r="N58" s="137">
        <v>250</v>
      </c>
      <c r="O58" s="182" t="str">
        <f>VLOOKUP(B58,ИСХОДНИК!A:P,15,FALSE())</f>
        <v>U6 PL40R</v>
      </c>
      <c r="P58" s="139">
        <f>VLOOKUP(B58,ИСХОДНИК!A:P,13,FALSE())</f>
        <v>210000</v>
      </c>
      <c r="Q58" s="139">
        <f>VLOOKUP(B58,ИСХОДНИК!A:P,14,FALSE())</f>
        <v>243599.99999999997</v>
      </c>
      <c r="R58" s="104" t="str">
        <f>IF(VLOOKUP(B58,ИСХОДНИК!A:R,18,FALSE())=1,ИСХОДНИК!$T$2,IF(VLOOKUP(B58,ИСХОДНИК!A:R,18,FALSE())=2,ИСХОДНИК!$T$5,IF(VLOOKUP(B58,ИСХОДНИК!A:R,18,FALSE())=3,ИСХОДНИК!$T$6)))</f>
        <v>◑</v>
      </c>
      <c r="T58" s="238"/>
      <c r="U58" s="240"/>
      <c r="V58" s="223"/>
      <c r="W58" s="223"/>
      <c r="X58" s="241"/>
      <c r="Y58" s="241"/>
      <c r="Z58" s="264"/>
    </row>
    <row r="59" spans="2:26" ht="21.75" customHeight="1">
      <c r="B59" s="97" t="s">
        <v>444</v>
      </c>
      <c r="C59" s="196" t="str">
        <f>VLOOKUP(B59,ИСХОДНИК!A:P,5,FALSE())</f>
        <v>FIA 125 D ANG PN 40</v>
      </c>
      <c r="D59" s="105" t="s">
        <v>267</v>
      </c>
      <c r="E59" s="197" t="str">
        <f>VLOOKUP(B59,ИСХОДНИК!A:P,11,FALSE())</f>
        <v>Под сварку встык DIN</v>
      </c>
      <c r="F59" s="182">
        <f>VLOOKUP(B59,ИСХОДНИК!A:P,7,FALSE())</f>
        <v>125</v>
      </c>
      <c r="G59" s="137" t="str">
        <f>VLOOKUP(B59,ИСХОДНИК!A:P,10,FALSE())</f>
        <v>R717, R744 и фреоны</v>
      </c>
      <c r="H59" s="181">
        <f>VLOOKUP(B59,ИСХОДНИК!A:P,8,FALSE())</f>
        <v>40</v>
      </c>
      <c r="I59" s="137" t="str">
        <f>VLOOKUP(B59,ИСХОДНИК!A:P,9,FALSE())</f>
        <v xml:space="preserve"> -60…120</v>
      </c>
      <c r="J59" s="137" t="s">
        <v>387</v>
      </c>
      <c r="K59" s="137">
        <v>275.39999999999998</v>
      </c>
      <c r="L59" s="137">
        <v>283.89999999999998</v>
      </c>
      <c r="M59" s="137">
        <v>298.39999999999998</v>
      </c>
      <c r="N59" s="137">
        <v>250</v>
      </c>
      <c r="O59" s="182" t="str">
        <f>VLOOKUP(B59,ИСХОДНИК!A:P,15,FALSE())</f>
        <v>U6 PL40R</v>
      </c>
      <c r="P59" s="139">
        <f>VLOOKUP(B59,ИСХОДНИК!A:P,13,FALSE())</f>
        <v>354000</v>
      </c>
      <c r="Q59" s="139">
        <f>VLOOKUP(B59,ИСХОДНИК!A:P,14,FALSE())</f>
        <v>410640</v>
      </c>
      <c r="R59" s="104" t="str">
        <f>IF(VLOOKUP(B59,ИСХОДНИК!A:R,18,FALSE())=1,ИСХОДНИК!$T$2,IF(VLOOKUP(B59,ИСХОДНИК!A:R,18,FALSE())=2,ИСХОДНИК!$T$5,IF(VLOOKUP(B59,ИСХОДНИК!A:R,18,FALSE())=3,ИСХОДНИК!$T$6)))</f>
        <v>◑</v>
      </c>
      <c r="T59" s="238"/>
      <c r="U59" s="240"/>
      <c r="V59" s="223"/>
      <c r="W59" s="223"/>
      <c r="X59" s="241"/>
      <c r="Y59" s="241"/>
      <c r="Z59" s="264"/>
    </row>
    <row r="60" spans="2:26" ht="21.75" customHeight="1">
      <c r="B60" s="97" t="s">
        <v>448</v>
      </c>
      <c r="C60" s="196" t="str">
        <f>VLOOKUP(B60,ИСХОДНИК!A:P,5,FALSE())</f>
        <v>FIA 150 D ANG PN 40</v>
      </c>
      <c r="D60" s="105" t="s">
        <v>267</v>
      </c>
      <c r="E60" s="197" t="str">
        <f>VLOOKUP(B60,ИСХОДНИК!A:P,11,FALSE())</f>
        <v>Под сварку встык DIN</v>
      </c>
      <c r="F60" s="182">
        <f>VLOOKUP(B60,ИСХОДНИК!A:P,7,FALSE())</f>
        <v>150</v>
      </c>
      <c r="G60" s="137" t="str">
        <f>VLOOKUP(B60,ИСХОДНИК!A:P,10,FALSE())</f>
        <v>R717, R744 и фреоны</v>
      </c>
      <c r="H60" s="181">
        <f>VLOOKUP(B60,ИСХОДНИК!A:P,8,FALSE())</f>
        <v>40</v>
      </c>
      <c r="I60" s="137" t="str">
        <f>VLOOKUP(B60,ИСХОДНИК!A:P,9,FALSE())</f>
        <v xml:space="preserve"> -60…120</v>
      </c>
      <c r="J60" s="137" t="s">
        <v>387</v>
      </c>
      <c r="K60" s="137">
        <v>362.1</v>
      </c>
      <c r="L60" s="137">
        <v>373.2</v>
      </c>
      <c r="M60" s="137">
        <v>391.9</v>
      </c>
      <c r="N60" s="137">
        <v>250</v>
      </c>
      <c r="O60" s="182" t="str">
        <f>VLOOKUP(B60,ИСХОДНИК!A:P,15,FALSE())</f>
        <v>U6 PL40R</v>
      </c>
      <c r="P60" s="139">
        <f>VLOOKUP(B60,ИСХОДНИК!A:P,13,FALSE())</f>
        <v>498000</v>
      </c>
      <c r="Q60" s="139">
        <f>VLOOKUP(B60,ИСХОДНИК!A:P,14,FALSE())</f>
        <v>577680</v>
      </c>
      <c r="R60" s="140" t="str">
        <f>IF(VLOOKUP(B60,ИСХОДНИК!A:R,18,FALSE())=1,ИСХОДНИК!$T$2,IF(VLOOKUP(B60,ИСХОДНИК!A:R,18,FALSE())=2,ИСХОДНИК!$T$5,IF(VLOOKUP(B60,ИСХОДНИК!A:R,18,FALSE())=3,ИСХОДНИК!$T$6)))</f>
        <v>○</v>
      </c>
      <c r="T60" s="238"/>
      <c r="U60" s="240"/>
      <c r="V60" s="223"/>
      <c r="W60" s="223"/>
      <c r="X60" s="241"/>
      <c r="Y60" s="241"/>
      <c r="Z60" s="264"/>
    </row>
    <row r="61" spans="2:26" ht="21.75" customHeight="1">
      <c r="B61" s="97" t="s">
        <v>450</v>
      </c>
      <c r="C61" s="196" t="str">
        <f>VLOOKUP(B61,ИСХОДНИК!A:P,5,FALSE())</f>
        <v>FIA 200 D ANG PN 40</v>
      </c>
      <c r="D61" s="105" t="s">
        <v>267</v>
      </c>
      <c r="E61" s="197" t="str">
        <f>VLOOKUP(B61,ИСХОДНИК!A:P,11,FALSE())</f>
        <v>Под сварку встык DIN</v>
      </c>
      <c r="F61" s="182">
        <f>VLOOKUP(B61,ИСХОДНИК!A:P,7,FALSE())</f>
        <v>200</v>
      </c>
      <c r="G61" s="137" t="str">
        <f>VLOOKUP(B61,ИСХОДНИК!A:P,10,FALSE())</f>
        <v>R717, R744 и фреоны</v>
      </c>
      <c r="H61" s="181">
        <f>VLOOKUP(B61,ИСХОДНИК!A:P,8,FALSE())</f>
        <v>40</v>
      </c>
      <c r="I61" s="137" t="str">
        <f>VLOOKUP(B61,ИСХОДНИК!A:P,9,FALSE())</f>
        <v xml:space="preserve"> -60…120</v>
      </c>
      <c r="J61" s="137"/>
      <c r="K61" s="137"/>
      <c r="L61" s="137"/>
      <c r="M61" s="137"/>
      <c r="N61" s="137">
        <v>250</v>
      </c>
      <c r="O61" s="182" t="str">
        <f>VLOOKUP(B61,ИСХОДНИК!A:P,15,FALSE())</f>
        <v>U6 PL40R</v>
      </c>
      <c r="P61" s="139">
        <f>VLOOKUP(B61,ИСХОДНИК!A:P,13,FALSE())</f>
        <v>870000</v>
      </c>
      <c r="Q61" s="139">
        <f>VLOOKUP(B61,ИСХОДНИК!A:P,14,FALSE())</f>
        <v>1009199.9999999999</v>
      </c>
      <c r="R61" s="140" t="str">
        <f>IF(VLOOKUP(B61,ИСХОДНИК!A:R,18,FALSE())=1,ИСХОДНИК!$T$2,IF(VLOOKUP(B61,ИСХОДНИК!A:R,18,FALSE())=2,ИСХОДНИК!$T$5,IF(VLOOKUP(B61,ИСХОДНИК!A:R,18,FALSE())=3,ИСХОДНИК!$T$6)))</f>
        <v>○</v>
      </c>
      <c r="T61" s="238"/>
      <c r="U61" s="240"/>
      <c r="V61" s="223"/>
      <c r="W61" s="223"/>
      <c r="X61" s="241"/>
      <c r="Y61" s="241"/>
      <c r="Z61" s="264"/>
    </row>
    <row r="62" spans="2:26" ht="21.75" customHeight="1">
      <c r="B62" s="97" t="s">
        <v>451</v>
      </c>
      <c r="C62" s="196" t="str">
        <f>VLOOKUP(B62,ИСХОДНИК!A:P,5,FALSE())</f>
        <v>FIA 250 D ANG PN 40</v>
      </c>
      <c r="D62" s="105" t="s">
        <v>267</v>
      </c>
      <c r="E62" s="197" t="str">
        <f>VLOOKUP(B62,ИСХОДНИК!A:P,11,FALSE())</f>
        <v>Под сварку встык DIN</v>
      </c>
      <c r="F62" s="182">
        <f>VLOOKUP(B62,ИСХОДНИК!A:P,7,FALSE())</f>
        <v>250</v>
      </c>
      <c r="G62" s="137" t="str">
        <f>VLOOKUP(B62,ИСХОДНИК!A:P,10,FALSE())</f>
        <v>R717, R744 и фреоны</v>
      </c>
      <c r="H62" s="181">
        <f>VLOOKUP(B62,ИСХОДНИК!A:P,8,FALSE())</f>
        <v>40</v>
      </c>
      <c r="I62" s="137" t="str">
        <f>VLOOKUP(B62,ИСХОДНИК!A:P,9,FALSE())</f>
        <v xml:space="preserve"> -60…120</v>
      </c>
      <c r="J62" s="137"/>
      <c r="K62" s="137"/>
      <c r="L62" s="137"/>
      <c r="M62" s="105"/>
      <c r="N62" s="137">
        <v>250</v>
      </c>
      <c r="O62" s="182" t="str">
        <f>VLOOKUP(B62,ИСХОДНИК!A:P,15,FALSE())</f>
        <v>PR PL40R-Project</v>
      </c>
      <c r="P62" s="139">
        <f>VLOOKUP(B62,ИСХОДНИК!A:P,13,FALSE())</f>
        <v>1500000</v>
      </c>
      <c r="Q62" s="139">
        <f>VLOOKUP(B62,ИСХОДНИК!A:P,14,FALSE())</f>
        <v>1739999.9999999998</v>
      </c>
      <c r="R62" s="140" t="str">
        <f>IF(VLOOKUP(B62,ИСХОДНИК!A:R,18,FALSE())=1,ИСХОДНИК!$T$2,IF(VLOOKUP(B62,ИСХОДНИК!A:R,18,FALSE())=2,ИСХОДНИК!$T$5,IF(VLOOKUP(B62,ИСХОДНИК!A:R,18,FALSE())=3,ИСХОДНИК!$T$6)))</f>
        <v>○</v>
      </c>
    </row>
    <row r="64" spans="2:26" ht="13.5">
      <c r="B64" s="516" t="s">
        <v>199</v>
      </c>
      <c r="C64" s="516"/>
      <c r="D64" s="516"/>
      <c r="E64" s="516"/>
      <c r="F64" s="516"/>
      <c r="G64" s="516"/>
      <c r="H64" s="516"/>
      <c r="I64" s="516"/>
      <c r="J64" s="516"/>
      <c r="K64" s="516"/>
      <c r="L64" s="516"/>
      <c r="M64" s="516"/>
    </row>
    <row r="65" spans="2:18" ht="40.5" customHeight="1">
      <c r="B65" s="130" t="s">
        <v>200</v>
      </c>
      <c r="C65" s="523" t="s">
        <v>2</v>
      </c>
      <c r="D65" s="523"/>
      <c r="E65" s="523"/>
      <c r="F65" s="523"/>
      <c r="G65" s="524"/>
      <c r="H65" s="265"/>
      <c r="I65" s="265"/>
      <c r="J65" s="266"/>
      <c r="K65" s="266"/>
      <c r="L65" s="266"/>
      <c r="M65" s="266"/>
      <c r="N65" s="266" t="s">
        <v>319</v>
      </c>
      <c r="O65" s="95" t="s">
        <v>67</v>
      </c>
      <c r="P65" s="95" t="s">
        <v>135</v>
      </c>
      <c r="Q65" s="95" t="s">
        <v>136</v>
      </c>
      <c r="R65" s="209" t="s">
        <v>55</v>
      </c>
    </row>
    <row r="66" spans="2:18" ht="18" customHeight="1">
      <c r="B66" s="267" t="s">
        <v>202</v>
      </c>
      <c r="C66" s="525" t="str">
        <f>VLOOKUP(B66,ИСХОДНИК!A:P,3,FALSE())</f>
        <v>Универсальная прокладка DN 15-25. Мультипак 10 шт.</v>
      </c>
      <c r="D66" s="525"/>
      <c r="E66" s="525"/>
      <c r="F66" s="525"/>
      <c r="G66" s="524"/>
      <c r="H66" s="526"/>
      <c r="I66" s="526"/>
      <c r="J66" s="105"/>
      <c r="K66" s="211"/>
      <c r="L66" s="211"/>
      <c r="M66" s="105"/>
      <c r="N66" s="105">
        <v>7</v>
      </c>
      <c r="O66" s="105" t="str">
        <f>VLOOKUP(B66,ИСХОДНИК!A:P,15,FALSE())</f>
        <v>U6 PL40R</v>
      </c>
      <c r="P66" s="139">
        <f>VLOOKUP(B66,ИСХОДНИК!A:P,13,FALSE())</f>
        <v>7200</v>
      </c>
      <c r="Q66" s="139">
        <f>VLOOKUP(B66,ИСХОДНИК!A:P,14,FALSE())</f>
        <v>8352</v>
      </c>
      <c r="R66" s="268" t="str">
        <f>IF(VLOOKUP(B66,ИСХОДНИК!A:R,18,FALSE())=1,ИСХОДНИК!$T$2,IF(VLOOKUP(B66,ИСХОДНИК!A:R,18,FALSE())=2,ИСХОДНИК!$T$5,IF(VLOOKUP(B62,ИСХОДНИК!A:R,18,FALSE())=3,ИСХОДНИК!$T$6)))</f>
        <v>◑</v>
      </c>
    </row>
    <row r="67" spans="2:18" ht="18" customHeight="1">
      <c r="B67" s="267" t="s">
        <v>203</v>
      </c>
      <c r="C67" s="525" t="str">
        <f>VLOOKUP(B67,ИСХОДНИК!A:P,3,FALSE())</f>
        <v>Универсальная прокладка DN 32-40. Мультипак 10 шт.</v>
      </c>
      <c r="D67" s="525"/>
      <c r="E67" s="525"/>
      <c r="F67" s="525"/>
      <c r="G67" s="524"/>
      <c r="H67" s="526"/>
      <c r="I67" s="526"/>
      <c r="J67" s="105"/>
      <c r="K67" s="211"/>
      <c r="L67" s="211"/>
      <c r="M67" s="105"/>
      <c r="N67" s="105">
        <v>7</v>
      </c>
      <c r="O67" s="105" t="str">
        <f>VLOOKUP(B67,ИСХОДНИК!A:P,15,FALSE())</f>
        <v>U6 PL40R</v>
      </c>
      <c r="P67" s="139">
        <f>VLOOKUP(B67,ИСХОДНИК!A:P,13,FALSE())</f>
        <v>9000</v>
      </c>
      <c r="Q67" s="139">
        <f>VLOOKUP(B67,ИСХОДНИК!A:P,14,FALSE())</f>
        <v>10440</v>
      </c>
      <c r="R67" s="268" t="str">
        <f>IF(VLOOKUP(B67,ИСХОДНИК!A:R,18,FALSE())=1,ИСХОДНИК!$T$2,IF(VLOOKUP(B67,ИСХОДНИК!A:R,18,FALSE())=2,ИСХОДНИК!$T$5,IF(VLOOKUP(B63,ИСХОДНИК!A:R,18,FALSE())=3,ИСХОДНИК!$T$6)))</f>
        <v>◑</v>
      </c>
    </row>
    <row r="68" spans="2:18" ht="18" customHeight="1">
      <c r="B68" s="267" t="s">
        <v>204</v>
      </c>
      <c r="C68" s="525" t="str">
        <f>VLOOKUP(B68,ИСХОДНИК!A:P,3,FALSE())</f>
        <v>Универсальная прокладка DN 50. Мультипак 10 шт.</v>
      </c>
      <c r="D68" s="525"/>
      <c r="E68" s="525"/>
      <c r="F68" s="525"/>
      <c r="G68" s="524"/>
      <c r="H68" s="526"/>
      <c r="I68" s="526"/>
      <c r="J68" s="105"/>
      <c r="K68" s="211"/>
      <c r="L68" s="211"/>
      <c r="M68" s="105"/>
      <c r="N68" s="105">
        <v>7</v>
      </c>
      <c r="O68" s="105" t="str">
        <f>VLOOKUP(B68,ИСХОДНИК!A:P,15,FALSE())</f>
        <v>U6 PL40R</v>
      </c>
      <c r="P68" s="139">
        <f>VLOOKUP(B68,ИСХОДНИК!A:P,13,FALSE())</f>
        <v>14400</v>
      </c>
      <c r="Q68" s="139">
        <f>VLOOKUP(B68,ИСХОДНИК!A:P,14,FALSE())</f>
        <v>16704</v>
      </c>
      <c r="R68" s="268" t="str">
        <f>IF(VLOOKUP(B68,ИСХОДНИК!A:R,18,FALSE())=1,ИСХОДНИК!$T$2,IF(VLOOKUP(B68,ИСХОДНИК!A:R,18,FALSE())=2,ИСХОДНИК!$T$5,IF(VLOOKUP(#REF!,ИСХОДНИК!A:R,18,FALSE())=3,ИСХОДНИК!$T$6)))</f>
        <v>◑</v>
      </c>
    </row>
    <row r="69" spans="2:18" ht="18" customHeight="1">
      <c r="B69" s="267" t="s">
        <v>205</v>
      </c>
      <c r="C69" s="525" t="str">
        <f>VLOOKUP(B69,ИСХОДНИК!A:P,3,FALSE())</f>
        <v>Универсальная прокладка DN 65. Мультипак 10 шт.</v>
      </c>
      <c r="D69" s="525"/>
      <c r="E69" s="525"/>
      <c r="F69" s="525"/>
      <c r="G69" s="524"/>
      <c r="H69" s="526"/>
      <c r="I69" s="526"/>
      <c r="J69" s="105"/>
      <c r="K69" s="211"/>
      <c r="L69" s="211"/>
      <c r="M69" s="105"/>
      <c r="N69" s="105">
        <v>7</v>
      </c>
      <c r="O69" s="105" t="str">
        <f>VLOOKUP(B69,ИСХОДНИК!A:P,15,FALSE())</f>
        <v>U6 PL40R</v>
      </c>
      <c r="P69" s="139">
        <f>VLOOKUP(B69,ИСХОДНИК!A:P,13,FALSE())</f>
        <v>18000</v>
      </c>
      <c r="Q69" s="139">
        <f>VLOOKUP(B69,ИСХОДНИК!A:P,14,FALSE())</f>
        <v>20880</v>
      </c>
      <c r="R69" s="268" t="str">
        <f>IF(VLOOKUP(B69,ИСХОДНИК!A:R,18,FALSE())=1,ИСХОДНИК!$T$2,IF(VLOOKUP(B69,ИСХОДНИК!A:R,18,FALSE())=2,ИСХОДНИК!$T$5,IF(VLOOKUP(B64,ИСХОДНИК!A:R,18,FALSE())=3,ИСХОДНИК!$T$6)))</f>
        <v>◑</v>
      </c>
    </row>
    <row r="70" spans="2:18" ht="18" customHeight="1">
      <c r="B70" s="267" t="s">
        <v>206</v>
      </c>
      <c r="C70" s="525" t="str">
        <f>VLOOKUP(B70,ИСХОДНИК!A:P,3,FALSE())</f>
        <v>Универсальная прокладка DN 80. Мультипак 10 шт.</v>
      </c>
      <c r="D70" s="525"/>
      <c r="E70" s="525"/>
      <c r="F70" s="525"/>
      <c r="G70" s="524"/>
      <c r="H70" s="526"/>
      <c r="I70" s="526"/>
      <c r="J70" s="105"/>
      <c r="K70" s="211"/>
      <c r="L70" s="211"/>
      <c r="M70" s="105"/>
      <c r="N70" s="105">
        <v>7</v>
      </c>
      <c r="O70" s="105" t="str">
        <f>VLOOKUP(B70,ИСХОДНИК!A:P,15,FALSE())</f>
        <v>U6 PL40R</v>
      </c>
      <c r="P70" s="139">
        <f>VLOOKUP(B70,ИСХОДНИК!A:P,13,FALSE())</f>
        <v>27000</v>
      </c>
      <c r="Q70" s="139">
        <f>VLOOKUP(B70,ИСХОДНИК!A:P,14,FALSE())</f>
        <v>31319.999999999996</v>
      </c>
      <c r="R70" s="268" t="str">
        <f>IF(VLOOKUP(B70,ИСХОДНИК!A:R,18,FALSE())=1,ИСХОДНИК!$T$2,IF(VLOOKUP(B70,ИСХОДНИК!A:R,18,FALSE())=2,ИСХОДНИК!$T$5,IF(VLOOKUP(B65,ИСХОДНИК!A:R,18,FALSE())=3,ИСХОДНИК!$T$6)))</f>
        <v>◑</v>
      </c>
    </row>
    <row r="71" spans="2:18" ht="18" customHeight="1">
      <c r="B71" s="267" t="s">
        <v>207</v>
      </c>
      <c r="C71" s="525" t="str">
        <f>VLOOKUP(B71,ИСХОДНИК!A:P,3,FALSE())</f>
        <v>Универсальная прокладка DN 100. Мультипак 10 шт.</v>
      </c>
      <c r="D71" s="525"/>
      <c r="E71" s="525"/>
      <c r="F71" s="525"/>
      <c r="G71" s="524"/>
      <c r="H71" s="526"/>
      <c r="I71" s="526"/>
      <c r="J71" s="105"/>
      <c r="K71" s="211"/>
      <c r="L71" s="211"/>
      <c r="M71" s="105"/>
      <c r="N71" s="105">
        <v>7</v>
      </c>
      <c r="O71" s="105" t="str">
        <f>VLOOKUP(B71,ИСХОДНИК!A:P,15,FALSE())</f>
        <v>U6 PL40R</v>
      </c>
      <c r="P71" s="139">
        <f>VLOOKUP(B71,ИСХОДНИК!A:P,13,FALSE())</f>
        <v>36000</v>
      </c>
      <c r="Q71" s="139">
        <f>VLOOKUP(B71,ИСХОДНИК!A:P,14,FALSE())</f>
        <v>41760</v>
      </c>
      <c r="R71" s="268" t="str">
        <f>IF(VLOOKUP(B71,ИСХОДНИК!A:R,18,FALSE())=1,ИСХОДНИК!$T$2,IF(VLOOKUP(B71,ИСХОДНИК!A:R,18,FALSE())=2,ИСХОДНИК!$T$5,IF(VLOOKUP(B66,ИСХОДНИК!A:R,18,FALSE())=3,ИСХОДНИК!$T$6)))</f>
        <v>◑</v>
      </c>
    </row>
    <row r="72" spans="2:18" ht="18" customHeight="1">
      <c r="B72" s="267" t="s">
        <v>208</v>
      </c>
      <c r="C72" s="525" t="str">
        <f>VLOOKUP(B72,ИСХОДНИК!A:P,3,FALSE())</f>
        <v>Универсальная прокладка DN 125. Мультипак 10 шт.</v>
      </c>
      <c r="D72" s="525"/>
      <c r="E72" s="525"/>
      <c r="F72" s="525"/>
      <c r="G72" s="524"/>
      <c r="H72" s="526"/>
      <c r="I72" s="526"/>
      <c r="J72" s="105"/>
      <c r="K72" s="211"/>
      <c r="L72" s="211"/>
      <c r="M72" s="105"/>
      <c r="N72" s="105">
        <v>7</v>
      </c>
      <c r="O72" s="105" t="str">
        <f>VLOOKUP(B72,ИСХОДНИК!A:P,15,FALSE())</f>
        <v>U6 PL40R</v>
      </c>
      <c r="P72" s="139">
        <f>VLOOKUP(B72,ИСХОДНИК!A:P,13,FALSE())</f>
        <v>63000</v>
      </c>
      <c r="Q72" s="139">
        <f>VLOOKUP(B72,ИСХОДНИК!A:P,14,FALSE())</f>
        <v>73080</v>
      </c>
      <c r="R72" s="268" t="str">
        <f>IF(VLOOKUP(B72,ИСХОДНИК!A:R,18,FALSE())=1,ИСХОДНИК!$T$2,IF(VLOOKUP(B72,ИСХОДНИК!A:R,18,FALSE())=2,ИСХОДНИК!$T$5,IF(VLOOKUP(B67,ИСХОДНИК!A:R,18,FALSE())=3,ИСХОДНИК!$T$6)))</f>
        <v>◑</v>
      </c>
    </row>
    <row r="73" spans="2:18" ht="18" customHeight="1">
      <c r="B73" s="267" t="s">
        <v>209</v>
      </c>
      <c r="C73" s="527" t="str">
        <f>VLOOKUP(B73,ИСХОДНИК!A:P,3,FALSE())</f>
        <v>Универсальная прокладка DN 150. Мультипак 10 шт.</v>
      </c>
      <c r="D73" s="527"/>
      <c r="E73" s="527"/>
      <c r="F73" s="527"/>
      <c r="G73" s="524"/>
      <c r="H73" s="526"/>
      <c r="I73" s="526"/>
      <c r="J73" s="105"/>
      <c r="K73" s="211"/>
      <c r="L73" s="211"/>
      <c r="M73" s="105"/>
      <c r="N73" s="105">
        <v>7</v>
      </c>
      <c r="O73" s="105" t="str">
        <f>VLOOKUP(B73,ИСХОДНИК!A:P,15,FALSE())</f>
        <v>U6 PL40R</v>
      </c>
      <c r="P73" s="139">
        <f>VLOOKUP(B73,ИСХОДНИК!A:P,13,FALSE())</f>
        <v>95400</v>
      </c>
      <c r="Q73" s="139">
        <f>VLOOKUP(B73,ИСХОДНИК!A:P,14,FALSE())</f>
        <v>110663.99999999999</v>
      </c>
      <c r="R73" s="268" t="str">
        <f>IF(VLOOKUP(B73,ИСХОДНИК!A:R,18,FALSE())=1,ИСХОДНИК!$T$2,IF(VLOOKUP(B73,ИСХОДНИК!A:R,18,FALSE())=2,ИСХОДНИК!$T$5,IF(VLOOKUP(B68,ИСХОДНИК!A:R,18,FALSE())=3,ИСХОДНИК!$T$6)))</f>
        <v>◑</v>
      </c>
    </row>
  </sheetData>
  <autoFilter ref="B11:R11" xr:uid="{00000000-0009-0000-0000-000008000000}">
    <filterColumn colId="0" hiddenButton="1"/>
    <filterColumn colId="1" hiddenButton="1"/>
    <filterColumn colId="2" hiddenButton="1"/>
  </autoFilter>
  <mergeCells count="24">
    <mergeCell ref="B37:R37"/>
    <mergeCell ref="B64:M64"/>
    <mergeCell ref="C65:F65"/>
    <mergeCell ref="G65:G73"/>
    <mergeCell ref="C66:F66"/>
    <mergeCell ref="H66:I73"/>
    <mergeCell ref="C67:F67"/>
    <mergeCell ref="C68:F68"/>
    <mergeCell ref="C69:F69"/>
    <mergeCell ref="C70:F70"/>
    <mergeCell ref="C71:F71"/>
    <mergeCell ref="C72:F72"/>
    <mergeCell ref="C73:F73"/>
    <mergeCell ref="T2:Z2"/>
    <mergeCell ref="AB2:AG2"/>
    <mergeCell ref="B3:H3"/>
    <mergeCell ref="AD3:AE9"/>
    <mergeCell ref="O10:R10"/>
    <mergeCell ref="W10:Z10"/>
    <mergeCell ref="AB10:AB11"/>
    <mergeCell ref="AC10:AC11"/>
    <mergeCell ref="AD10:AE10"/>
    <mergeCell ref="AF10:AG10"/>
    <mergeCell ref="J11:M11"/>
  </mergeCells>
  <conditionalFormatting sqref="K66:K73 L66:L73">
    <cfRule type="containsErrors" dxfId="2" priority="2">
      <formula>ISERROR(K66)</formula>
    </cfRule>
  </conditionalFormatting>
  <pageMargins left="0.75" right="0.75" top="1" bottom="1" header="0.511811023622047" footer="0.5"/>
  <pageSetup paperSize="9" orientation="portrait" horizontalDpi="300" verticalDpi="300"/>
  <headerFooter>
    <oddFooter>&amp;C&amp;1#&amp;"Calibri,Regular"&amp;10&amp;K000000Classified as Business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Содержание </vt:lpstr>
      <vt:lpstr>Быстрый поиск по коду</vt:lpstr>
      <vt:lpstr>ICF-R</vt:lpstr>
      <vt:lpstr>SVA</vt:lpstr>
      <vt:lpstr>SVA-Q</vt:lpstr>
      <vt:lpstr>REG</vt:lpstr>
      <vt:lpstr>CHV</vt:lpstr>
      <vt:lpstr>SCA</vt:lpstr>
      <vt:lpstr>FIA</vt:lpstr>
      <vt:lpstr>SNV</vt:lpstr>
      <vt:lpstr>EVRA(T) </vt:lpstr>
      <vt:lpstr>ICS-R</vt:lpstr>
      <vt:lpstr>PM</vt:lpstr>
      <vt:lpstr>ICLX-R</vt:lpstr>
      <vt:lpstr>PMLX</vt:lpstr>
      <vt:lpstr>Пилоты</vt:lpstr>
      <vt:lpstr>OFV</vt:lpstr>
      <vt:lpstr>ORV</vt:lpstr>
      <vt:lpstr>ELS</vt:lpstr>
      <vt:lpstr>SFV-R</vt:lpstr>
      <vt:lpstr>DSV</vt:lpstr>
      <vt:lpstr>Смотроые стекла</vt:lpstr>
      <vt:lpstr>ICAD-R</vt:lpstr>
      <vt:lpstr>ЗИП</vt:lpstr>
      <vt:lpstr>ИСХОДНИК</vt:lpstr>
      <vt:lpstr>НДС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Тазитдинов Рамиль</dc:creator>
  <dc:description/>
  <cp:lastModifiedBy>Minaeva Irina</cp:lastModifiedBy>
  <cp:revision>18</cp:revision>
  <dcterms:created xsi:type="dcterms:W3CDTF">2016-06-15T14:01:03Z</dcterms:created>
  <dcterms:modified xsi:type="dcterms:W3CDTF">2026-03-20T08:38:16Z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dc1ca378-6e64-486a-a21b-5093d586b098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2021-03-11T06:39:29Z</vt:lpwstr>
  </property>
  <property fmtid="{D5CDD505-2E9C-101B-9397-08002B2CF9AE}" pid="8" name="MSIP_Label_8d6a82de-332f-43b8-a8a7-1928fd67507f_SiteId">
    <vt:lpwstr>097464b8-069c-453e-9254-c17ec707310d</vt:lpwstr>
  </property>
</Properties>
</file>